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1.xml.rels" ContentType="application/vnd.openxmlformats-package.relationships+xml"/>
  <Override PartName="/xl/worksheets/_rels/sheet5.xml.rels" ContentType="application/vnd.openxmlformats-package.relationships+xml"/>
  <Override PartName="/xl/worksheets/_rels/sheet10.xml.rels" ContentType="application/vnd.openxmlformats-package.relationships+xml"/>
  <Override PartName="/xl/worksheets/_rels/sheet4.xml.rels" ContentType="application/vnd.openxmlformats-package.relationships+xml"/>
  <Override PartName="/xl/worksheets/_rels/sheet9.xml.rels" ContentType="application/vnd.openxmlformats-package.relationships+xml"/>
  <Override PartName="/xl/worksheets/_rels/sheet8.xml.rels" ContentType="application/vnd.openxmlformats-package.relationships+xml"/>
  <Override PartName="/xl/worksheets/_rels/sheet7.xml.rels" ContentType="application/vnd.openxmlformats-package.relationships+xml"/>
  <Override PartName="/xl/worksheets/_rels/sheet6.xml.rels" ContentType="application/vnd.openxmlformats-package.relationships+xml"/>
  <Override PartName="/xl/worksheets/_rels/sheet12.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drawings/vmlDrawing1.vml" ContentType="application/vnd.openxmlformats-officedocument.vmlDrawing"/>
  <Override PartName="/xl/charts/chart1.xml" ContentType="application/vnd.openxmlformats-officedocument.drawingml.chart+xml"/>
  <Override PartName="/xl/_rels/workbook.xml.rels" ContentType="application/vnd.openxmlformats-package.relationships+xml"/>
  <Override PartName="/xl/comments4.xml" ContentType="application/vnd.openxmlformats-officedocument.spreadsheetml.comment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mmary" sheetId="1" state="visible" r:id="rId3"/>
    <sheet name="Terms of use" sheetId="2" state="visible" r:id="rId4"/>
    <sheet name="Inputs" sheetId="3" state="visible" r:id="rId5"/>
    <sheet name="Product supply" sheetId="4" state="visible" r:id="rId6"/>
    <sheet name="Sector build" sheetId="5" state="visible" r:id="rId7"/>
    <sheet name="Defence detail" sheetId="6" state="visible" r:id="rId8"/>
    <sheet name="Residual allocation" sheetId="7" state="visible" r:id="rId9"/>
    <sheet name="End-use matrix" sheetId="8" state="visible" r:id="rId10"/>
    <sheet name="Cross-checks" sheetId="9" state="visible" r:id="rId11"/>
    <sheet name="Assumption register" sheetId="10" state="visible" r:id="rId12"/>
    <sheet name="Sources" sheetId="11" state="visible" r:id="rId13"/>
    <sheet name="Notes" sheetId="12" state="visible" r:id="rId14"/>
  </sheets>
  <calcPr iterateCount="100" refMode="A1" iterate="false" iterateDelta="0.0001"/>
  <extLst>
    <ext xmlns:loext="http://schemas.libreoffice.org/" uri="{7626C862-2A13-11E5-B345-FEFF819CDC9F}">
      <loext:extCalcPr stringRefSyntax="ExcelA1"/>
    </ext>
  </extLst>
</workbook>
</file>

<file path=xl/comments4.xml><?xml version="1.0" encoding="utf-8"?>
<comments xmlns="http://schemas.openxmlformats.org/spreadsheetml/2006/main" xmlns:xdr="http://schemas.openxmlformats.org/drawingml/2006/spreadsheetDrawing">
  <authors>
    <author>Unknown Author</author>
  </authors>
  <commentList>
    <comment ref="D5" authorId="0">
      <text>
        <r>
          <rPr>
            <sz val="10"/>
            <rFont val="Arial"/>
            <family val="2"/>
          </rPr>
          <t xml:space="preserve">Product-structure weights from the James King steel demand assessment by product (steelonthenet.com/commerce/about/jfk.html); only the shares within each group are used.</t>
        </r>
      </text>
    </comment>
  </commentList>
</comments>
</file>

<file path=xl/sharedStrings.xml><?xml version="1.0" encoding="utf-8"?>
<sst xmlns="http://schemas.openxmlformats.org/spreadsheetml/2006/main" count="1342" uniqueCount="773">
  <si>
    <t xml:space="preserve">WORLD STEEL DEMAND BY END-USE INDUSTRY, 2025</t>
  </si>
  <si>
    <t xml:space="preserve">2025 demand data</t>
  </si>
  <si>
    <t xml:space="preserve">Terms of use</t>
  </si>
  <si>
    <t xml:space="preserve">Metals Consulting International Limited (MCI) for SteelOnTheNet | Worksheet date: 7 November 2026</t>
  </si>
  <si>
    <t xml:space="preserve">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t>
  </si>
  <si>
    <t xml:space="preserve">End-use sector</t>
  </si>
  <si>
    <t xml:space="preserve">2025 demand (Mt)</t>
  </si>
  <si>
    <t xml:space="preserve">Share of total</t>
  </si>
  <si>
    <t xml:space="preserve">Chart share (rounded)*</t>
  </si>
  <si>
    <t xml:space="preserve">helper: whole %</t>
  </si>
  <si>
    <t xml:space="preserve">helper: remainder</t>
  </si>
  <si>
    <t xml:space="preserve">helper: whole Mt</t>
  </si>
  <si>
    <t xml:space="preserve">helper: Mt remainder</t>
  </si>
  <si>
    <t xml:space="preserve">Construction</t>
  </si>
  <si>
    <t xml:space="preserve">Mechanical engineering</t>
  </si>
  <si>
    <t xml:space="preserve">Automotive</t>
  </si>
  <si>
    <t xml:space="preserve">Other transport</t>
  </si>
  <si>
    <t xml:space="preserve">Domestic appliances</t>
  </si>
  <si>
    <t xml:space="preserve">Metal products</t>
  </si>
  <si>
    <t xml:space="preserve">Oil and gas</t>
  </si>
  <si>
    <t xml:space="preserve">Defence</t>
  </si>
  <si>
    <t xml:space="preserve">Miscellaneous</t>
  </si>
  <si>
    <t xml:space="preserve">World</t>
  </si>
  <si>
    <t xml:space="preserve">* Shares rounded to whole percentages that add up to 100%, and Mt rounded to whole million tonnes that add up to the world total (largest-remainder method).</t>
  </si>
  <si>
    <t xml:space="preserve">Reconciliation checks</t>
  </si>
  <si>
    <t xml:space="preserve">World finished steel demand 2025 (Inputs)</t>
  </si>
  <si>
    <t xml:space="preserve">Sum of end-use sectors (unrounded)</t>
  </si>
  <si>
    <t xml:space="preserve">Difference (Mt)</t>
  </si>
  <si>
    <t xml:space="preserve">Demand by product less supply (Mt)</t>
  </si>
  <si>
    <t xml:space="preserve">Unallocated residual product (Mt)</t>
  </si>
  <si>
    <t xml:space="preserve">Overall status</t>
  </si>
  <si>
    <t xml:space="preserve">Demand by product shape, 2025 (source: James King)</t>
  </si>
  <si>
    <t xml:space="preserve">Shape</t>
  </si>
  <si>
    <t xml:space="preserve">Share</t>
  </si>
  <si>
    <t xml:space="preserve">Flat</t>
  </si>
  <si>
    <t xml:space="preserve">Long</t>
  </si>
  <si>
    <t xml:space="preserve">Tube</t>
  </si>
  <si>
    <t xml:space="preserve">How to read this workbook</t>
  </si>
  <si>
    <t xml:space="preserve">Terms of use - read before relying on or reproducing any figure.</t>
  </si>
  <si>
    <t xml:space="preserve">Inputs - every driver and assumption, with status and source reference. Edit blue cells only.</t>
  </si>
  <si>
    <t xml:space="preserve">Product supply - splits world demand into 11 finished products.</t>
  </si>
  <si>
    <t xml:space="preserve">Sector build - bottom-up sizing of automotive, other transport, appliances, HVAC, containers, wire, fasteners, rigs, defence.  Defence detail - equipment and ammunition line by line.</t>
  </si>
  <si>
    <t xml:space="preserve">Residual allocation - shares the remaining product among construction, engineering and other sectors.</t>
  </si>
  <si>
    <t xml:space="preserve">End-use matrix - 23 sub-sectors x 11 products, plus the 9-sector summary that feeds this page.</t>
  </si>
  <si>
    <t xml:space="preserve">Cross-checks - each sector against independent 2025 evidence.  Assumption register - the key assumptions and their basis.</t>
  </si>
  <si>
    <t xml:space="preserve">Sources - full reference list.  Notes - method and definitions.</t>
  </si>
  <si>
    <t xml:space="preserve">TERMS OF USE AND DISCLAIMER</t>
  </si>
  <si>
    <t xml:space="preserve">See also: https://www.steelonthenet.com/resources/market-data/consumption.html</t>
  </si>
  <si>
    <t xml:space="preserve">About this analysis</t>
  </si>
  <si>
    <t xml:space="preserve">This workbook was prepared by Metals Consulting International Limited (MCI) and is published by SteelOnTheNet (steelonthenet.com). Worksheet date: 7 November 2026.</t>
  </si>
  <si>
    <t xml:space="preserve">It is a best-efforts analysis based on publicly available information, third-party data and MCI 2026 industry discussions / best estimates. Many figures are estimates and are subject to uncertainty and revision.</t>
  </si>
  <si>
    <t xml:space="preserve">No warranty or liability</t>
  </si>
  <si>
    <t xml:space="preserve">MCI and SteelOnTheNet make no representation or warranty, express or implied, as to the accuracy, completeness, timeliness or fitness for any purpose of the data, assumptions, calculations or conclusions in this workbook.</t>
  </si>
  <si>
    <t xml:space="preserve">To the fullest extent permitted by law, MCI and SteelOnTheNet accept no responsibility or liability for any loss, damage, cost or expense of any kind arising from any use of, or reliance on, this workbook or its contents.</t>
  </si>
  <si>
    <t xml:space="preserve">This workbook does not constitute investment, financial, legal, engineering or other professional advice, and must not be relied on as such.</t>
  </si>
  <si>
    <t xml:space="preserve">Your responsibilities</t>
  </si>
  <si>
    <t xml:space="preserve">Users should carry out their own checks and verification, consult primary sources and take appropriate professional advice before making any decision based on this material.</t>
  </si>
  <si>
    <t xml:space="preserve">Third-party data remain the property of their respective owners and are subject to those owners' terms. Links to external websites were checked on the worksheet date and may since have changed.</t>
  </si>
  <si>
    <t xml:space="preserve">Citation and reproduction</t>
  </si>
  <si>
    <t xml:space="preserve">Figures may be quoted with attribution: "Source: Metals Consulting International Limited / SteelOnTheNet (2026), World steel demand by end-use industry, 2025, steelonthenet.com/resources/market-data/steel-end-use.html".</t>
  </si>
  <si>
    <t xml:space="preserve">See also steelonthenet.com/resources/market-data/consumption.html. Reproduction of the workbook in whole or substantial part requires prior written permission from MCI.</t>
  </si>
  <si>
    <t xml:space="preserve">Full terms</t>
  </si>
  <si>
    <t xml:space="preserve">Use of this workbook is subject to the SteelOnTheNet legal terms: https://www.steelonthenet.com/legal.html</t>
  </si>
  <si>
    <t xml:space="preserve">(c) 2026 Metals Consulting International Limited. All rights reserved.</t>
  </si>
  <si>
    <t xml:space="preserve">INPUTS AND DRIVERS - 2025</t>
  </si>
  <si>
    <t xml:space="preserve">Blue figures are hard-coded inputs; change them here and the whole workbook recalculates. Yellow = key assumptions. "Status" shows whether a value is 2025 data, other published data or an MCI estimate.</t>
  </si>
  <si>
    <t xml:space="preserve">Ref</t>
  </si>
  <si>
    <t xml:space="preserve">Parameter</t>
  </si>
  <si>
    <t xml:space="preserve">Value</t>
  </si>
  <si>
    <t xml:space="preserve">Unit</t>
  </si>
  <si>
    <t xml:space="preserve">Status</t>
  </si>
  <si>
    <t xml:space="preserve">Basis / source</t>
  </si>
  <si>
    <t xml:space="preserve">Source ref</t>
  </si>
  <si>
    <t xml:space="preserve">Global demand and product shape</t>
  </si>
  <si>
    <t xml:space="preserve">total</t>
  </si>
  <si>
    <t xml:space="preserve">World finished steel demand (apparent steel use), 2025</t>
  </si>
  <si>
    <t xml:space="preserve">Mt</t>
  </si>
  <si>
    <t xml:space="preserve">2025 data</t>
  </si>
  <si>
    <t xml:space="preserve">worldsteel, World Steel in Figures 2026: world apparent steel use (finished steel products), 2025. Consistent with the April and October 2026 Short Range Outlooks.</t>
  </si>
  <si>
    <t xml:space="preserve">S1, S2</t>
  </si>
  <si>
    <t xml:space="preserve">pub_flat</t>
  </si>
  <si>
    <t xml:space="preserve">Flat products demand, 2025</t>
  </si>
  <si>
    <t xml:space="preserve">James King</t>
  </si>
  <si>
    <t xml:space="preserve">James King steel demand assessment by product. Includes plate, HRC, CRC, coated sheet, tinplate and sheet piling.</t>
  </si>
  <si>
    <t xml:space="preserve">JK</t>
  </si>
  <si>
    <t xml:space="preserve">pub_long</t>
  </si>
  <si>
    <t xml:space="preserve">Long products demand, 2025</t>
  </si>
  <si>
    <t xml:space="preserve">James King steel demand assessment by product. Includes sections, rail, merchant bar, rebar and wire rod.</t>
  </si>
  <si>
    <t xml:space="preserve">pub_tube</t>
  </si>
  <si>
    <t xml:space="preserve">Tube (welded + seamless) demand, 2025</t>
  </si>
  <si>
    <t xml:space="preserve">James King steel demand assessment by product. See Cross-checks for comparison with Chinese output data.</t>
  </si>
  <si>
    <t xml:space="preserve">pile</t>
  </si>
  <si>
    <t xml:space="preserve">Sheet piling demand, 2025 (part of flat)</t>
  </si>
  <si>
    <t xml:space="preserve">MCI estimate</t>
  </si>
  <si>
    <t xml:space="preserve">2025 market reports: ~4.4 Mt production (GIR); USD 3.1-3.4bn market = ~4.5-5 Mt at ~USD 700/t. 6 Mt allows for unreported Chinese output.</t>
  </si>
  <si>
    <t xml:space="preserve">S16</t>
  </si>
  <si>
    <t xml:space="preserve">Automotive (passenger cars + light commercial vehicles)</t>
  </si>
  <si>
    <t xml:space="preserve">cars</t>
  </si>
  <si>
    <t xml:space="preserve">World passenger car production, 2025</t>
  </si>
  <si>
    <t xml:space="preserve">m units</t>
  </si>
  <si>
    <t xml:space="preserve">OICA 2025 production statistics (world total all vehicles 96.38m).</t>
  </si>
  <si>
    <t xml:space="preserve">S4, S5</t>
  </si>
  <si>
    <t xml:space="preserve">lcv</t>
  </si>
  <si>
    <t xml:space="preserve">World light commercial vehicle production, 2025</t>
  </si>
  <si>
    <t xml:space="preserve">OICA 2025 production statistics.</t>
  </si>
  <si>
    <t xml:space="preserve">kg_car</t>
  </si>
  <si>
    <t xml:space="preserve">Steel content per passenger car</t>
  </si>
  <si>
    <t xml:space="preserve">kg</t>
  </si>
  <si>
    <t xml:space="preserve">Published data</t>
  </si>
  <si>
    <t xml:space="preserve">SteelOnTheNet automotive steel analysis (steelonthenet.com/files/automotive.html).</t>
  </si>
  <si>
    <t xml:space="preserve">P3</t>
  </si>
  <si>
    <t xml:space="preserve">kg_lcv</t>
  </si>
  <si>
    <t xml:space="preserve">Steel content per light commercial vehicle</t>
  </si>
  <si>
    <t xml:space="preserve">Vans and pick-ups are heavier than cars. Cross-check: China auto steel 48-65 Mt (see Cross-checks).</t>
  </si>
  <si>
    <t xml:space="preserve">MCI</t>
  </si>
  <si>
    <t xml:space="preserve">auto_yield</t>
  </si>
  <si>
    <t xml:space="preserve">Yield loss (stamping, blanking etc.)</t>
  </si>
  <si>
    <t xml:space="preserve">%</t>
  </si>
  <si>
    <t xml:space="preserve">Typical press-shop yield loss.</t>
  </si>
  <si>
    <t xml:space="preserve">auto_spares</t>
  </si>
  <si>
    <t xml:space="preserve">Spare parts uplift</t>
  </si>
  <si>
    <t xml:space="preserve">Replacement parts and repair; Chinese data show ~12% of auto steel going to maintenance.</t>
  </si>
  <si>
    <t xml:space="preserve">MCI, S29</t>
  </si>
  <si>
    <t xml:space="preserve">hcv</t>
  </si>
  <si>
    <t xml:space="preserve">World heavy truck production, 2025</t>
  </si>
  <si>
    <t xml:space="preserve">OICA 2025 production statistics (heavy trucks). OICA notes HCV data are incomplete.</t>
  </si>
  <si>
    <t xml:space="preserve">t_hcv</t>
  </si>
  <si>
    <t xml:space="preserve">Steel per heavy truck</t>
  </si>
  <si>
    <t xml:space="preserve">t</t>
  </si>
  <si>
    <t xml:space="preserve">51% steel content of an average ~13,900 lb truck (Autosteel).</t>
  </si>
  <si>
    <t xml:space="preserve">H1</t>
  </si>
  <si>
    <t xml:space="preserve">bus</t>
  </si>
  <si>
    <t xml:space="preserve">World bus &amp; coach production, 2025</t>
  </si>
  <si>
    <t xml:space="preserve">t_bus</t>
  </si>
  <si>
    <t xml:space="preserve">Steel per bus / coach</t>
  </si>
  <si>
    <t xml:space="preserve">12.5 t average unladen weight x 65% steel.</t>
  </si>
  <si>
    <t xml:space="preserve">cv_yield</t>
  </si>
  <si>
    <t xml:space="preserve">Yield loss - trucks and buses</t>
  </si>
  <si>
    <t xml:space="preserve">MCI 2026 industry discussions / best estimates.</t>
  </si>
  <si>
    <t xml:space="preserve">ship_cn</t>
  </si>
  <si>
    <t xml:space="preserve">China shipbuilding completions, 2025</t>
  </si>
  <si>
    <t xml:space="preserve">m dwt</t>
  </si>
  <si>
    <t xml:space="preserve">China Association of the National Shipbuilding Industry (CANSI).</t>
  </si>
  <si>
    <t xml:space="preserve">S7</t>
  </si>
  <si>
    <t xml:space="preserve">ship_cnsh</t>
  </si>
  <si>
    <t xml:space="preserve">China share of world completions (dwt), 2025</t>
  </si>
  <si>
    <t xml:space="preserve">CANSI: China completions = 56.1% of world total in dwt terms.</t>
  </si>
  <si>
    <t xml:space="preserve">t_dwt</t>
  </si>
  <si>
    <t xml:space="preserve">Hull steel per dwt delivered</t>
  </si>
  <si>
    <t xml:space="preserve">t/dwt</t>
  </si>
  <si>
    <t xml:space="preserve">Lightship steel weight relative to deadweight for the bulker / tanker / container mix. Clarksons put 2025 output at 43.5m CGT (+6%).</t>
  </si>
  <si>
    <t xml:space="preserve">MCI, S8</t>
  </si>
  <si>
    <t xml:space="preserve">ship_yield</t>
  </si>
  <si>
    <t xml:space="preserve">Yield loss and repair steel - shipbuilding</t>
  </si>
  <si>
    <t xml:space="preserve">air</t>
  </si>
  <si>
    <t xml:space="preserve">Civil aircraft steel demand</t>
  </si>
  <si>
    <t xml:space="preserve">Tonnage trivial (~0.1 Mt max).</t>
  </si>
  <si>
    <t xml:space="preserve">app_units</t>
  </si>
  <si>
    <t xml:space="preserve">World major appliance market, 2025</t>
  </si>
  <si>
    <t xml:space="preserve">Market report: global major appliances 570m units / USD 298bn in 2025 (+1.4%).</t>
  </si>
  <si>
    <t xml:space="preserve">S9</t>
  </si>
  <si>
    <t xml:space="preserve">app_kg</t>
  </si>
  <si>
    <t xml:space="preserve">Average weight per appliance</t>
  </si>
  <si>
    <t xml:space="preserve">Reflects the wide product scope of the 570m-unit market. Result is at the top of the range implied by Chinese data (see Cross-checks).</t>
  </si>
  <si>
    <t xml:space="preserve">app_steel</t>
  </si>
  <si>
    <t xml:space="preserve">Steel share of appliance weight</t>
  </si>
  <si>
    <t xml:space="preserve">app_yield</t>
  </si>
  <si>
    <t xml:space="preserve">Parts and yield loss uplift</t>
  </si>
  <si>
    <t xml:space="preserve">Range 25-30%.</t>
  </si>
  <si>
    <t xml:space="preserve">Mechanical engineering - HVAC ducting</t>
  </si>
  <si>
    <t xml:space="preserve">hvac_usd</t>
  </si>
  <si>
    <t xml:space="preserve">Global HVAC market, 2025</t>
  </si>
  <si>
    <t xml:space="preserve">USD bn</t>
  </si>
  <si>
    <t xml:space="preserve">Arizton: global HVAC market USD 215bn in 2025.</t>
  </si>
  <si>
    <t xml:space="preserve">S10</t>
  </si>
  <si>
    <t xml:space="preserve">hvac_mat</t>
  </si>
  <si>
    <t xml:space="preserve">Material cost share of market value</t>
  </si>
  <si>
    <t xml:space="preserve">hvac_duct</t>
  </si>
  <si>
    <t xml:space="preserve">Ducting / casing share of material cost</t>
  </si>
  <si>
    <t xml:space="preserve">Market sizes include equipment, controls and services as well as ductwork.</t>
  </si>
  <si>
    <t xml:space="preserve">hvac_px</t>
  </si>
  <si>
    <t xml:space="preserve">Average price of galvanised steel used</t>
  </si>
  <si>
    <t xml:space="preserve">USD/t</t>
  </si>
  <si>
    <t xml:space="preserve">Mostly galvanised coil.</t>
  </si>
  <si>
    <t xml:space="preserve">cont_cn</t>
  </si>
  <si>
    <t xml:space="preserve">China container output, 2025</t>
  </si>
  <si>
    <t xml:space="preserve">m TEU</t>
  </si>
  <si>
    <t xml:space="preserve">China Container Industry Association (via The Loadstar): 6.45m TEU in 2025.</t>
  </si>
  <si>
    <t xml:space="preserve">S11</t>
  </si>
  <si>
    <t xml:space="preserve">cont_sh</t>
  </si>
  <si>
    <t xml:space="preserve">China share of world container manufacturing</t>
  </si>
  <si>
    <t xml:space="preserve">Chinese manufacturers produce ~95% of the world's containers.</t>
  </si>
  <si>
    <t xml:space="preserve">t_teu</t>
  </si>
  <si>
    <t xml:space="preserve">Steel weight per TEU</t>
  </si>
  <si>
    <t xml:space="preserve">Output is now mostly 40ft high-cube: tare ~3.9 t = 1.95 t per TEU, less ~10% timber floor.</t>
  </si>
  <si>
    <t xml:space="preserve">S17</t>
  </si>
  <si>
    <t xml:space="preserve">cont_yield</t>
  </si>
  <si>
    <t xml:space="preserve">Yield loss - containers</t>
  </si>
  <si>
    <t xml:space="preserve">wire_t</t>
  </si>
  <si>
    <t xml:space="preserve">World iron &amp; steel wire consumption, 2024</t>
  </si>
  <si>
    <t xml:space="preserve">Latest data</t>
  </si>
  <si>
    <t xml:space="preserve">IndexBox: ~35 Mt consumed in 2024.</t>
  </si>
  <si>
    <t xml:space="preserve">S12</t>
  </si>
  <si>
    <t xml:space="preserve">wire_yield</t>
  </si>
  <si>
    <t xml:space="preserve">Yield loss - wire drawing</t>
  </si>
  <si>
    <t xml:space="preserve">fast_cn</t>
  </si>
  <si>
    <t xml:space="preserve">China fastener production (latest year, 2023)</t>
  </si>
  <si>
    <t xml:space="preserve">China fastener industry report: ~9.78 Mt in 2023, first globally (CMCA data: 7.6 Mt in 2018).</t>
  </si>
  <si>
    <t xml:space="preserve">S18</t>
  </si>
  <si>
    <t xml:space="preserve">fast_sh</t>
  </si>
  <si>
    <t xml:space="preserve">China share of world fastener production</t>
  </si>
  <si>
    <t xml:space="preserve">9.78 / 35% = ~28 Mt world output.</t>
  </si>
  <si>
    <t xml:space="preserve">fast_yield</t>
  </si>
  <si>
    <t xml:space="preserve">Yield loss - fasteners</t>
  </si>
  <si>
    <t xml:space="preserve">Cold heading and machining losses.</t>
  </si>
  <si>
    <t xml:space="preserve">Oil &amp; gas</t>
  </si>
  <si>
    <t xml:space="preserve">rigs</t>
  </si>
  <si>
    <t xml:space="preserve">Oil rigs built per year</t>
  </si>
  <si>
    <t xml:space="preserve">units</t>
  </si>
  <si>
    <t xml:space="preserve">Generous upper estimate; demand is immaterial at world level.</t>
  </si>
  <si>
    <t xml:space="preserve">t_rig</t>
  </si>
  <si>
    <t xml:space="preserve">Average steel weight per rig</t>
  </si>
  <si>
    <t xml:space="preserve">Average of five published estimates (3,750-12,500 t).</t>
  </si>
  <si>
    <t xml:space="preserve">rig_yield</t>
  </si>
  <si>
    <t xml:space="preserve">Yield loss - rigs</t>
  </si>
  <si>
    <t xml:space="preserve">sipri25</t>
  </si>
  <si>
    <t xml:space="preserve">World military expenditure, 2025</t>
  </si>
  <si>
    <t xml:space="preserve">SIPRI, April 2026: +2.9% real, 11th consecutive annual rise. Context only; equipment is built up on the Defence detail sheet.</t>
  </si>
  <si>
    <t xml:space="preserve">S13</t>
  </si>
  <si>
    <t xml:space="preserve">def_life</t>
  </si>
  <si>
    <t xml:space="preserve">Service life of military equipment (fleet-turnover lines)</t>
  </si>
  <si>
    <t xml:space="preserve">years</t>
  </si>
  <si>
    <t xml:space="preserve">def_yield</t>
  </si>
  <si>
    <t xml:space="preserve">Yield loss - military vehicles and platforms</t>
  </si>
  <si>
    <t xml:space="preserve">FINISHED STEEL SUPPLY BY PRODUCT, 2025</t>
  </si>
  <si>
    <t xml:space="preserve">Steel demand by product: source James King (steelonthenet.com/commerce/about/jfk.html). Flat / long / tube totals (Inputs) are split into 11 products; sheet piling is an input and the rest of each group follows the product-structure weights (blue).</t>
  </si>
  <si>
    <t xml:space="preserve">Product</t>
  </si>
  <si>
    <t xml:space="preserve">Group</t>
  </si>
  <si>
    <t xml:space="preserve">Product-structure weight (James King)</t>
  </si>
  <si>
    <t xml:space="preserve">Share within group*</t>
  </si>
  <si>
    <t xml:space="preserve">Group total 2025 (Mt)</t>
  </si>
  <si>
    <t xml:space="preserve">% of total</t>
  </si>
  <si>
    <t xml:space="preserve">Sheet piling</t>
  </si>
  <si>
    <t xml:space="preserve">input</t>
  </si>
  <si>
    <t xml:space="preserve">Plate &amp; HRC</t>
  </si>
  <si>
    <t xml:space="preserve">CRC</t>
  </si>
  <si>
    <t xml:space="preserve">Galv / OCS</t>
  </si>
  <si>
    <t xml:space="preserve">Tinplate</t>
  </si>
  <si>
    <t xml:space="preserve">Heavy sections</t>
  </si>
  <si>
    <t xml:space="preserve">Rail</t>
  </si>
  <si>
    <t xml:space="preserve">Light sections &amp; bar</t>
  </si>
  <si>
    <t xml:space="preserve">Rebar</t>
  </si>
  <si>
    <t xml:space="preserve">Wire rod</t>
  </si>
  <si>
    <t xml:space="preserve">* Flat shares exclude sheet piling, which is set directly on the Inputs sheet.</t>
  </si>
  <si>
    <t xml:space="preserve">Total</t>
  </si>
  <si>
    <t xml:space="preserve">Check vs world total on Inputs (should be 0)</t>
  </si>
  <si>
    <t xml:space="preserve">Flat / long / tube</t>
  </si>
  <si>
    <t xml:space="preserve">2025 Mt</t>
  </si>
  <si>
    <t xml:space="preserve">2025 %</t>
  </si>
  <si>
    <t xml:space="preserve">BOTTOM-UP SECTOR ESTIMATES, 2025</t>
  </si>
  <si>
    <t xml:space="preserve">Sectors that can be sized from physical drivers (units produced x steel per unit). Section A converts drivers to Mt; Section B splits each total by product; Section C gives Mt by product.</t>
  </si>
  <si>
    <t xml:space="preserve">A. Driver calculations</t>
  </si>
  <si>
    <t xml:space="preserve">Calculation</t>
  </si>
  <si>
    <t xml:space="preserve">Automotive: cars x kg/car</t>
  </si>
  <si>
    <t xml:space="preserve">Automotive: LCVs x kg/LCV</t>
  </si>
  <si>
    <t xml:space="preserve">Automotive: steel in vehicles</t>
  </si>
  <si>
    <t xml:space="preserve">Automotive: implied avg steel per light vehicle</t>
  </si>
  <si>
    <t xml:space="preserve">Automotive: demand incl. yield loss and spares</t>
  </si>
  <si>
    <t xml:space="preserve">Trucks: units x t/unit x (1+yield loss)</t>
  </si>
  <si>
    <t xml:space="preserve">Buses &amp; coaches: units x t/unit x (1+yield loss)</t>
  </si>
  <si>
    <t xml:space="preserve">Shipbuilding: world completions (China / China share)</t>
  </si>
  <si>
    <t xml:space="preserve">Shipbuilding: dwt x t/dwt x (1+yield &amp; repair)</t>
  </si>
  <si>
    <t xml:space="preserve">Aircraft</t>
  </si>
  <si>
    <t xml:space="preserve">Rail track: all rail product (from Product supply)</t>
  </si>
  <si>
    <t xml:space="preserve">Appliances: steel per unit incl. parts &amp; yield</t>
  </si>
  <si>
    <t xml:space="preserve">Appliances: units x kg/unit</t>
  </si>
  <si>
    <t xml:space="preserve">HVAC: ducting spend</t>
  </si>
  <si>
    <t xml:space="preserve">HVAC: spend / steel price</t>
  </si>
  <si>
    <t xml:space="preserve">Containers: world output (China / China share)</t>
  </si>
  <si>
    <t xml:space="preserve">Containers: TEU x t/TEU x (1+yield loss)</t>
  </si>
  <si>
    <t xml:space="preserve">Drums, boxes &amp; tins: all tinplate (from Product supply)</t>
  </si>
  <si>
    <t xml:space="preserve">Wire products: consumption x (1+yield loss)</t>
  </si>
  <si>
    <t xml:space="preserve">Oil rigs: units x t/rig x (1+yield loss)</t>
  </si>
  <si>
    <t xml:space="preserve">Defence equipment and ammunition (Defence detail sheet)</t>
  </si>
  <si>
    <t xml:space="preserve">Sheet piling: all sheet piling (from Product supply)</t>
  </si>
  <si>
    <t xml:space="preserve">Fasteners: world production (China / China share)</t>
  </si>
  <si>
    <t xml:space="preserve">Fasteners: production x (1+yield loss)</t>
  </si>
  <si>
    <t xml:space="preserve">B. Product distribution of each bottom-up sector (%)</t>
  </si>
  <si>
    <t xml:space="preserve">Sector</t>
  </si>
  <si>
    <t xml:space="preserve">Total %</t>
  </si>
  <si>
    <t xml:space="preserve">Sector Mt</t>
  </si>
  <si>
    <t xml:space="preserve">Other transport - trucks</t>
  </si>
  <si>
    <t xml:space="preserve">Other transport - buses &amp; coaches</t>
  </si>
  <si>
    <t xml:space="preserve">Other transport - shipbuilding</t>
  </si>
  <si>
    <t xml:space="preserve">Other transport - other (aircraft)</t>
  </si>
  <si>
    <t xml:space="preserve">Other transport - rail (track)</t>
  </si>
  <si>
    <t xml:space="preserve">Mechanical - HVAC</t>
  </si>
  <si>
    <t xml:space="preserve">Metal products - containers</t>
  </si>
  <si>
    <t xml:space="preserve">Metal products - drums, boxes &amp; tins (tinplate)</t>
  </si>
  <si>
    <t xml:space="preserve">Metal products - wire products</t>
  </si>
  <si>
    <t xml:space="preserve">Metal products - fasteners</t>
  </si>
  <si>
    <t xml:space="preserve">Oil &amp; gas - oil rigs</t>
  </si>
  <si>
    <t xml:space="preserve">Defence - equipment and ammunition</t>
  </si>
  <si>
    <t xml:space="preserve">Construction - sheet piling</t>
  </si>
  <si>
    <t xml:space="preserve">Product splits: MCI 2026 industry discussions / best estimates (cross-checked against Eurostat Panorama of EU Industry data, ref H2).</t>
  </si>
  <si>
    <t xml:space="preserve">C. Bottom-up demand by product (Mt)</t>
  </si>
  <si>
    <t xml:space="preserve">Total Mt</t>
  </si>
  <si>
    <t xml:space="preserve">Total bottom-up</t>
  </si>
  <si>
    <t xml:space="preserve">DEFENCE EQUIPMENT AND AMMUNITION - STEEL DEMAND BUILD-UP, 2025</t>
  </si>
  <si>
    <t xml:space="preserve">Land and air equipment: world stock / service life = units replaced per year. Naval shipbuilding and ammunition: annual output. Steel per unit and product splits are MCI 2026 industry discussions / best estimates unless a source is shown. Blue cells are inputs.</t>
  </si>
  <si>
    <t xml:space="preserve">A. Steel demand by equipment type</t>
  </si>
  <si>
    <t xml:space="preserve">Equipment</t>
  </si>
  <si>
    <t xml:space="preserve">Method</t>
  </si>
  <si>
    <t xml:space="preserve">World stock or annual output</t>
  </si>
  <si>
    <t xml:space="preserve">Steel per unit (t)</t>
  </si>
  <si>
    <t xml:space="preserve">Service life (yrs)</t>
  </si>
  <si>
    <t xml:space="preserve">Units per year</t>
  </si>
  <si>
    <t xml:space="preserve">Yield / machining loss</t>
  </si>
  <si>
    <t xml:space="preserve">Steel demand (kt)</t>
  </si>
  <si>
    <t xml:space="preserve">Basis</t>
  </si>
  <si>
    <t xml:space="preserve">Main battle tanks</t>
  </si>
  <si>
    <t xml:space="preserve">Fleet turnover</t>
  </si>
  <si>
    <t xml:space="preserve">S32, S31, S37</t>
  </si>
  <si>
    <t xml:space="preserve">GlobalMilitary.net 2026: 56,821 active + 5,927 stored. Steel 50-60 t per tank (European Commission). Cross-check: Russia builds or refurbishes ~1,500-1,600 tanks a year; US ~135.</t>
  </si>
  <si>
    <t xml:space="preserve">Armoured vehicles (IFV, APC, light armoured)</t>
  </si>
  <si>
    <t xml:space="preserve">MCI, S32, S37</t>
  </si>
  <si>
    <t xml:space="preserve">MCI estimate: US alone has 171,065 armoured vehicles, 148,882 of them light armoured (GlobalMilitary.net 2026). Average steel weighted towards light vehicles. Russia builds ~2,200 IFV/APC a year.</t>
  </si>
  <si>
    <t xml:space="preserve">Self-propelled artillery</t>
  </si>
  <si>
    <t xml:space="preserve">S32, S31</t>
  </si>
  <si>
    <t xml:space="preserve">GlobalMilitary.net 2026 world inventory. Typical systems weigh 27-55 t; European Commission cites up to 100 t of steel for the largest.</t>
  </si>
  <si>
    <t xml:space="preserve">Towed artillery</t>
  </si>
  <si>
    <t xml:space="preserve">S32</t>
  </si>
  <si>
    <t xml:space="preserve">GlobalMilitary.net 2026 world inventory. Typical towed guns weigh 4-9 t.</t>
  </si>
  <si>
    <t xml:space="preserve">Multiple launch rocket systems</t>
  </si>
  <si>
    <t xml:space="preserve">MCI 2026 industry discussions / best estimates (world total not published).</t>
  </si>
  <si>
    <t xml:space="preserve">Military aircraft (fixed and rotary wing)</t>
  </si>
  <si>
    <t xml:space="preserve">S33</t>
  </si>
  <si>
    <t xml:space="preserve">Global Firepower 2026: US 13,032 aircraft, about 25% of the world fleet. Airframes are mainly aluminium and titanium; steel is in landing gear, engines and fittings.</t>
  </si>
  <si>
    <t xml:space="preserve">Naval shipbuilding (all warships and submarines)</t>
  </si>
  <si>
    <t xml:space="preserve">Annual output</t>
  </si>
  <si>
    <t xml:space="preserve">t displacement / yr</t>
  </si>
  <si>
    <t xml:space="preserve">n/a</t>
  </si>
  <si>
    <t xml:space="preserve">S34, MCI</t>
  </si>
  <si>
    <t xml:space="preserve">Euronaval World Defense Shipbuilding 2026: ~1.47 Mt of naval tonnage delivered worldwide in 2024-25 (China 43%). Steel taken as 45% of displacement.</t>
  </si>
  <si>
    <t xml:space="preserve">Artillery ammunition (large calibre)</t>
  </si>
  <si>
    <t xml:space="preserve">rounds / yr</t>
  </si>
  <si>
    <t xml:space="preserve">S35, S36, MCI</t>
  </si>
  <si>
    <t xml:space="preserve">155mm M107 shell: 43.2 kg with 6.6 kg explosive = ~36 kg forged steel. Loss covers forging and machining from bar. Output build-up in section B.</t>
  </si>
  <si>
    <t xml:space="preserve">Total defence equipment and ammunition</t>
  </si>
  <si>
    <t xml:space="preserve">Mt:</t>
  </si>
  <si>
    <t xml:space="preserve">B. Artillery ammunition output, 2025 (million large-calibre rounds)</t>
  </si>
  <si>
    <t xml:space="preserve">Producer</t>
  </si>
  <si>
    <t xml:space="preserve">Rounds (m)</t>
  </si>
  <si>
    <t xml:space="preserve">Russia</t>
  </si>
  <si>
    <t xml:space="preserve">S35</t>
  </si>
  <si>
    <t xml:space="preserve">Estonian intelligence: ~4.5m rounds produced or refurbished in 2024</t>
  </si>
  <si>
    <t xml:space="preserve">United States</t>
  </si>
  <si>
    <t xml:space="preserve">~40,000 155mm rounds a month</t>
  </si>
  <si>
    <t xml:space="preserve">Europe</t>
  </si>
  <si>
    <t xml:space="preserve">EU target of 2m rounds a year by end-2025; output ~1.2-2m</t>
  </si>
  <si>
    <t xml:space="preserve">Rest of world</t>
  </si>
  <si>
    <t xml:space="preserve">China, India, South Korea, Turkey, Iran, North Korea and others</t>
  </si>
  <si>
    <t xml:space="preserve">C. Product split (%)</t>
  </si>
  <si>
    <t xml:space="preserve">D. Steel demand by product (Mt)</t>
  </si>
  <si>
    <t xml:space="preserve">ALLOCATION OF REMAINING PRODUCT TO OTHER SECTORS, 2025</t>
  </si>
  <si>
    <t xml:space="preserve">Product left after the bottom-up sectors is shared out using MCI distribution percentages (blue, editable), based on industry discussions and the regional evidence on the Cross-checks sheet. Each product column must total 100%.</t>
  </si>
  <si>
    <t xml:space="preserve">Supply 2025 (Product supply)</t>
  </si>
  <si>
    <t xml:space="preserve">Less: taken by bottom-up sectors (Sector build)</t>
  </si>
  <si>
    <t xml:space="preserve">Remaining to allocate</t>
  </si>
  <si>
    <t xml:space="preserve">A. Distribution of remaining product (%)</t>
  </si>
  <si>
    <t xml:space="preserve">Construction - structural &amp; building work</t>
  </si>
  <si>
    <t xml:space="preserve">Construction - pipe and tube</t>
  </si>
  <si>
    <t xml:space="preserve">Mechanical - engineering</t>
  </si>
  <si>
    <t xml:space="preserve">Mechanical - pipe and tube</t>
  </si>
  <si>
    <t xml:space="preserve">Other transport - rail (rolling stock)</t>
  </si>
  <si>
    <t xml:space="preserve">Metal products - drums, boxes &amp; tins</t>
  </si>
  <si>
    <t xml:space="preserve">Metal products - other</t>
  </si>
  <si>
    <t xml:space="preserve">Metal products - furniture tube</t>
  </si>
  <si>
    <t xml:space="preserve">Oil &amp; gas - exploration &amp; transport</t>
  </si>
  <si>
    <t xml:space="preserve">Defence - building reinforcement</t>
  </si>
  <si>
    <t xml:space="preserve">Total (must be 100% where product remains)</t>
  </si>
  <si>
    <t xml:space="preserve">Check: unallocated product, Mt (should be 0)</t>
  </si>
  <si>
    <t xml:space="preserve">B. Allocated demand by product (Mt)</t>
  </si>
  <si>
    <t xml:space="preserve">Total allocated</t>
  </si>
  <si>
    <t xml:space="preserve">WORLD STEEL END-USE MATRIX, 2025 (Mt)</t>
  </si>
  <si>
    <t xml:space="preserve">Finished steel demand by end-use sub-sector and product. Reconciles to world finished steel demand on the Inputs sheet.</t>
  </si>
  <si>
    <t xml:space="preserve">Sub-sector</t>
  </si>
  <si>
    <t xml:space="preserve">Sector (key)</t>
  </si>
  <si>
    <t xml:space="preserve">Other transport - rail</t>
  </si>
  <si>
    <t xml:space="preserve">Total demand</t>
  </si>
  <si>
    <t xml:space="preserve">Supply by product (Product supply)</t>
  </si>
  <si>
    <t xml:space="preserve">Check: demand less supply (should be 0)</t>
  </si>
  <si>
    <t xml:space="preserve">SUMMARY BY END-USE SECTOR, 2025 (Mt)</t>
  </si>
  <si>
    <t xml:space="preserve">Column Z tags each sub-sector with its summary sector (used by the SUMIF formulas above).</t>
  </si>
  <si>
    <t xml:space="preserve">CROSS-CHECKS AGAINST INDEPENDENT 2025 EVIDENCE</t>
  </si>
  <si>
    <t xml:space="preserve">Each 2025 figure is compared with evidence from outside this workbook. Ranges are MCI readings of the sources cited; China, India, EU and US data are converted to world totals where needed. Blue cells are inputs.</t>
  </si>
  <si>
    <t xml:space="preserve">Summary</t>
  </si>
  <si>
    <t xml:space="preserve">Outside range:</t>
  </si>
  <si>
    <t xml:space="preserve">A. Regional build-up of construction and mechanical engineering</t>
  </si>
  <si>
    <t xml:space="preserve">Region</t>
  </si>
  <si>
    <t xml:space="preserve">Construction share</t>
  </si>
  <si>
    <t xml:space="preserve">Construction (Mt)</t>
  </si>
  <si>
    <t xml:space="preserve">Mech. eng. share</t>
  </si>
  <si>
    <t xml:space="preserve">Mech. eng. (Mt)</t>
  </si>
  <si>
    <t xml:space="preserve">China</t>
  </si>
  <si>
    <t xml:space="preserve">NBS: apparent consumption -7.1% to 829 Mt (may be on a crude-steel basis). CISA / China Metallurgical News: construction share fell from 58% (2020) to 49% (2025). Machinery ~180 Mt.</t>
  </si>
  <si>
    <t xml:space="preserve">S19, S20</t>
  </si>
  <si>
    <t xml:space="preserve">India</t>
  </si>
  <si>
    <t xml:space="preserve">CY2025 consumption 159.8 Mt. Construction &amp; infrastructure 59% of consumption. Capital goods ~10% (JPC sector split).</t>
  </si>
  <si>
    <t xml:space="preserve">S25</t>
  </si>
  <si>
    <t xml:space="preserve">EU-27</t>
  </si>
  <si>
    <t xml:space="preserve">EUROFER: 2025 apparent consumption 134.4 Mt (+4.4%); construction 37%. Mechanical engineering ~14% (EUROFER sector weights, older series).</t>
  </si>
  <si>
    <t xml:space="preserve">S26</t>
  </si>
  <si>
    <t xml:space="preserve">USGS: 2025 apparent consumption ~95 Mt; construction 31% and automotive 15% of mill shipments, plus a large share of the 26% sold via service centres. 42% and 10% are MCI estimates.</t>
  </si>
  <si>
    <t xml:space="preserve">S27</t>
  </si>
  <si>
    <t xml:space="preserve">Balancing item. Construction 45-55% and mechanical engineering 8-12% (MCI estimates for developing and other developed economies).</t>
  </si>
  <si>
    <t xml:space="preserve">Rest-of-world range: construction low / high</t>
  </si>
  <si>
    <t xml:space="preserve">Rest-of-world range: mech. eng. low / high</t>
  </si>
  <si>
    <t xml:space="preserve">B. Sector and product checks</t>
  </si>
  <si>
    <t xml:space="preserve">Item</t>
  </si>
  <si>
    <t xml:space="preserve">Share of 1,718 Mt</t>
  </si>
  <si>
    <t xml:space="preserve">Evidence low (Mt)</t>
  </si>
  <si>
    <t xml:space="preserve">Evidence high (Mt)</t>
  </si>
  <si>
    <t xml:space="preserve">Independent evidence</t>
  </si>
  <si>
    <t xml:space="preserve">Regional build-up above (China 49%, India 59%, EU 37%, US ~42%, rest of world 45-55%). worldsteel's wider "buildings &amp; infrastructure" category is ~52%.</t>
  </si>
  <si>
    <t xml:space="preserve">S19, S25-S27, S15</t>
  </si>
  <si>
    <t xml:space="preserve">Regional build-up above. China machinery alone uses ~180 Mt (MPI forecast 179 Mt).</t>
  </si>
  <si>
    <t xml:space="preserve">S20, S22</t>
  </si>
  <si>
    <t xml:space="preserve">China auto steel 48 Mt (2024, IDOM) to ~65 Mt (2025, CISA; Mysteel forecast 74 Mt); India 13.7 Mt (FY25); US ~15% of mill shipments; EU ~17%. Model method gives ~50 Mt for China's 34.5m vehicles.</t>
  </si>
  <si>
    <t xml:space="preserve">S21, S23-S25, S27</t>
  </si>
  <si>
    <t xml:space="preserve">China shipbuilding steel 16.5-17.8 Mt with ~56% of world completions -&gt; world ships ~25-30 Mt; heavy trucks ~16 Mt and buses ~3 Mt (OICA volumes); rail track and rolling stock ~15-25 Mt.</t>
  </si>
  <si>
    <t xml:space="preserve">S7, S20, S23, S4</t>
  </si>
  <si>
    <t xml:space="preserve">China appliance steel 19.4 Mt (MPI) to 28.5 Mt (Mysteel); China makes ~50-60% of the world's white goods.</t>
  </si>
  <si>
    <t xml:space="preserve">S22, S23</t>
  </si>
  <si>
    <t xml:space="preserve">Components identified bottom-up: wire ~38.5 Mt, fasteners ~30.7 Mt, containers ~14.3 Mt, tinplate packaging ~15 Mt (~99 Mt). The rest (drums, furniture, general fabrication) has no independent total.</t>
  </si>
  <si>
    <t xml:space="preserve">S11, S12, S18</t>
  </si>
  <si>
    <t xml:space="preserve">OCTG ~9-13 Mt in 2025 (market reports; Fastmarkets' older forecast 17.7-18.4 Mt); linepipe ~15-25 Mt (CRU ~24 Mt in 2011; China ~6 Mt/yr); Freedonia: oil &amp; gas over half of 67 Mt steel-pipe demand in 2014 (~35 Mt); rigs and offshore 1-5 Mt.</t>
  </si>
  <si>
    <t xml:space="preserve">S28, S29</t>
  </si>
  <si>
    <t xml:space="preserve">Under 1% of Europe's ~10 Mt reversing-mill plate goes to defence (Kallanish); a main battle tank holds 50-60 t of steel. Equipment and ammunition built up item by item (~1.2 Mt, Defence detail sheet); the rest is building reinforcement, which has no independent benchmark. Low confidence.</t>
  </si>
  <si>
    <t xml:space="preserve">S31-S37</t>
  </si>
  <si>
    <t xml:space="preserve">No benchmark</t>
  </si>
  <si>
    <t xml:space="preserve">No independent benchmark.</t>
  </si>
  <si>
    <t xml:space="preserve">Tube (welded + seamless)</t>
  </si>
  <si>
    <t xml:space="preserve">China welded pipe 39.9 Mt in Jan-Aug 2025 (+3.4%) -&gt; ~60 Mt a year; seamless capacity 42.9 Mt (output ~30-35 Mt); China ~55-60% of world tube output -&gt; world ~155-180 Mt.</t>
  </si>
  <si>
    <t xml:space="preserve">S30</t>
  </si>
  <si>
    <t xml:space="preserve">World finished steel demand</t>
  </si>
  <si>
    <t xml:space="preserve">worldsteel World Steel in Figures 2026 gives 1,718 Mt; the April 2026 Short Range Outlook implies 1,718.8 Mt; an Indian steel IPO prospectus also quotes 1,718 Mt.</t>
  </si>
  <si>
    <t xml:space="preserve">S1, S2, S25</t>
  </si>
  <si>
    <t xml:space="preserve">C. Interpretation</t>
  </si>
  <si>
    <t xml:space="preserve">Construction and mechanical engineering are well supported: built up from China, India, EU and US sector data, they come to about 840 Mt and 275 Mt.</t>
  </si>
  <si>
    <t xml:space="preserve">Automotive, other transport and defence sit inside the evidence ranges. Other transport is at the low end; shipbuilding could justify a few Mt more.</t>
  </si>
  <si>
    <t xml:space="preserve">Domestic appliances is at or just above the top of the range implied by Chinese data.</t>
  </si>
  <si>
    <t xml:space="preserve">Oil &amp; gas is above the range supported by OCTG, linepipe and offshore data (~35-55 Mt). The difference depends on how large-diameter and small/medium welded pipe for water, gas distribution and process uses is classified; on a narrow definition the sector would be ~50 Mt (3%), with the balance in construction and mechanical engineering.</t>
  </si>
  <si>
    <t xml:space="preserve">Tube is a little above the ~155-180 Mt implied by Chinese output data.</t>
  </si>
  <si>
    <t xml:space="preserve">Metal products can only be partly verified: about half is identified bottom-up (wire, fasteners, containers, tinplate packaging).</t>
  </si>
  <si>
    <t xml:space="preserve">ASSUMPTION REGISTER</t>
  </si>
  <si>
    <t xml:space="preserve">The key assumptions behind the analysis, the value used and the evidence for it. Snapshot as at the worksheet date; live values are on the Inputs and Residual allocation sheets.</t>
  </si>
  <si>
    <t xml:space="preserve">#</t>
  </si>
  <si>
    <t xml:space="preserve">Area</t>
  </si>
  <si>
    <t xml:space="preserve">Assumption</t>
  </si>
  <si>
    <t xml:space="preserve">Value used (2025)</t>
  </si>
  <si>
    <t xml:space="preserve">Evidence / reason</t>
  </si>
  <si>
    <t xml:space="preserve">Totals</t>
  </si>
  <si>
    <t xml:space="preserve">1,718 Mt</t>
  </si>
  <si>
    <t xml:space="preserve">worldsteel, World Steel in Figures 2026 (apparent steel use, finished steel products).</t>
  </si>
  <si>
    <t xml:space="preserve">S1</t>
  </si>
  <si>
    <t xml:space="preserve">Flat / long / tube mix and product split</t>
  </si>
  <si>
    <t xml:space="preserve">40.0% / 49.0% / 11.0% (687 / 842 / 189 Mt); 11 products</t>
  </si>
  <si>
    <t xml:space="preserve">James King steel demand assessment by product. Tube compared with Chinese output data on Cross-checks.</t>
  </si>
  <si>
    <t xml:space="preserve">JK, S30</t>
  </si>
  <si>
    <t xml:space="preserve">Appliances</t>
  </si>
  <si>
    <t xml:space="preserve">World major appliance units</t>
  </si>
  <si>
    <t xml:space="preserve">570m</t>
  </si>
  <si>
    <t xml:space="preserve">Major appliance market report.</t>
  </si>
  <si>
    <t xml:space="preserve">Average weight; steel share; parts &amp; yield</t>
  </si>
  <si>
    <t xml:space="preserve">124 kg; 65%; 28%</t>
  </si>
  <si>
    <t xml:space="preserve">Wide product scope; result at top of range implied by Chinese data.</t>
  </si>
  <si>
    <t xml:space="preserve">MCI, S22, S23</t>
  </si>
  <si>
    <t xml:space="preserve">Product split (flat / long / tube)</t>
  </si>
  <si>
    <t xml:space="preserve">82.5 / 15 / 2.5</t>
  </si>
  <si>
    <t xml:space="preserve">Mostly coated and cold-rolled sheet; MCI 2026 industry discussions / best estimates.</t>
  </si>
  <si>
    <t xml:space="preserve">Steel per car; per light commercial vehicle</t>
  </si>
  <si>
    <t xml:space="preserve">900 kg; 1,025 kg</t>
  </si>
  <si>
    <t xml:space="preserve">Published data; MCI estimate</t>
  </si>
  <si>
    <t xml:space="preserve">SteelOnTheNet automotive steel analysis; LCVs heavier.</t>
  </si>
  <si>
    <t xml:space="preserve">P3, MCI</t>
  </si>
  <si>
    <t xml:space="preserve">Cars + LCV production</t>
  </si>
  <si>
    <t xml:space="preserve">92.2m (71.3m + 20.9m)</t>
  </si>
  <si>
    <t xml:space="preserve">OICA.</t>
  </si>
  <si>
    <t xml:space="preserve">Yield loss; spare parts</t>
  </si>
  <si>
    <t xml:space="preserve">30%; 15%</t>
  </si>
  <si>
    <t xml:space="preserve">Chinese data show ~12% of auto steel used for maintenance.</t>
  </si>
  <si>
    <t xml:space="preserve">Shipbuilding</t>
  </si>
  <si>
    <t xml:space="preserve">World completions x steel per dwt</t>
  </si>
  <si>
    <t xml:space="preserve">95.7m dwt x 0.20 t/dwt, +30% yield &amp; repair</t>
  </si>
  <si>
    <t xml:space="preserve">2025 data; MCI estimate</t>
  </si>
  <si>
    <t xml:space="preserve">CANSI 2025 completions (China 53.69m dwt = 56.1% of world). China shipbuilding steel 16.5 Mt is consistent.</t>
  </si>
  <si>
    <t xml:space="preserve">S7, S20</t>
  </si>
  <si>
    <t xml:space="preserve">Trucks</t>
  </si>
  <si>
    <t xml:space="preserve">Heavy truck production; steel per truck</t>
  </si>
  <si>
    <t xml:space="preserve">3.9m; 3.25 t</t>
  </si>
  <si>
    <t xml:space="preserve">2025 data; published data</t>
  </si>
  <si>
    <t xml:space="preserve">OICA; Autosteel.</t>
  </si>
  <si>
    <t xml:space="preserve">S4, H1</t>
  </si>
  <si>
    <t xml:space="preserve">Buses</t>
  </si>
  <si>
    <t xml:space="preserve">Bus production; steel per bus</t>
  </si>
  <si>
    <t xml:space="preserve">0.32m; 8.125 t</t>
  </si>
  <si>
    <t xml:space="preserve">OICA; unladen weight x steel share.</t>
  </si>
  <si>
    <t xml:space="preserve">S4, MCI</t>
  </si>
  <si>
    <t xml:space="preserve">Civil aircraft steel</t>
  </si>
  <si>
    <t xml:space="preserve">0.1 Mt</t>
  </si>
  <si>
    <t xml:space="preserve">Immaterial.</t>
  </si>
  <si>
    <t xml:space="preserve">Rail track; rolling stock</t>
  </si>
  <si>
    <t xml:space="preserve">All rail product (~11.9 Mt); ~1% of remaining plate</t>
  </si>
  <si>
    <t xml:space="preserve">Rail product from the product-shape analysis.</t>
  </si>
  <si>
    <t xml:space="preserve">HVAC</t>
  </si>
  <si>
    <t xml:space="preserve">Market; material share; ducting share; steel price</t>
  </si>
  <si>
    <t xml:space="preserve">USD 215bn; 25%; 15%; USD 800/t</t>
  </si>
  <si>
    <t xml:space="preserve">Arizton 2025 market size.</t>
  </si>
  <si>
    <t xml:space="preserve">Containers</t>
  </si>
  <si>
    <t xml:space="preserve">Output; steel per TEU; yield</t>
  </si>
  <si>
    <t xml:space="preserve">6.8m TEU; 1.75 t; 20%</t>
  </si>
  <si>
    <t xml:space="preserve">CCIA 2025 output (China 6.45m TEU, ~95% of world); 40ft high-cube tare ~3.9 t.</t>
  </si>
  <si>
    <t xml:space="preserve">S11, S17</t>
  </si>
  <si>
    <t xml:space="preserve">Allocation</t>
  </si>
  <si>
    <t xml:space="preserve">All to drums, boxes &amp; tins</t>
  </si>
  <si>
    <t xml:space="preserve">Packaging is the dominant use.</t>
  </si>
  <si>
    <t xml:space="preserve">Wire</t>
  </si>
  <si>
    <t xml:space="preserve">World wire consumption</t>
  </si>
  <si>
    <t xml:space="preserve">35 Mt (+10% yield) = 38.5 Mt</t>
  </si>
  <si>
    <t xml:space="preserve">IndexBox (2024).</t>
  </si>
  <si>
    <t xml:space="preserve">Fasteners</t>
  </si>
  <si>
    <t xml:space="preserve">World fastener production</t>
  </si>
  <si>
    <t xml:space="preserve">~28 Mt (+10% yield) = ~30.7 Mt</t>
  </si>
  <si>
    <t xml:space="preserve">Latest data; MCI estimate</t>
  </si>
  <si>
    <t xml:space="preserve">China 9.78 Mt (2023) at ~35% of world.</t>
  </si>
  <si>
    <t xml:space="preserve">Oil rigs</t>
  </si>
  <si>
    <t xml:space="preserve">Rigs built; weight; yield</t>
  </si>
  <si>
    <t xml:space="preserve">50; 7,200 t; 20% (0.43 Mt)</t>
  </si>
  <si>
    <t xml:space="preserve">Immaterial at world level.</t>
  </si>
  <si>
    <t xml:space="preserve">World demand</t>
  </si>
  <si>
    <t xml:space="preserve">6 Mt</t>
  </si>
  <si>
    <t xml:space="preserve">2025 market reports: ~4.4 Mt production; USD 3.1-3.4bn market.</t>
  </si>
  <si>
    <t xml:space="preserve">Equipment and ammunition</t>
  </si>
  <si>
    <t xml:space="preserve">~1.2 Mt: land and air fleets / 25-year life; naval output 0.735 Mt displacement/yr x 45% steel; ~8.5m shells x 36 kg</t>
  </si>
  <si>
    <t xml:space="preserve">Built up item by item on the Defence detail sheet; building reinforcement allocated from remaining plate, CRC, sections and tube.</t>
  </si>
  <si>
    <t xml:space="preserve">S31-S37, MCI</t>
  </si>
  <si>
    <t xml:space="preserve">Residual split</t>
  </si>
  <si>
    <t xml:space="preserve">Tube (%)</t>
  </si>
  <si>
    <t xml:space="preserve">O&amp;G 58.0 / Constr 21.3 / Mech 12.1 / Furniture 6.4 / Defence 0.5 / Misc 1.6</t>
  </si>
  <si>
    <t xml:space="preserve">See Cross-checks on oil &amp; gas classification.</t>
  </si>
  <si>
    <t xml:space="preserve">MCI, S28, S29</t>
  </si>
  <si>
    <t xml:space="preserve">Plate &amp; HRC (%)</t>
  </si>
  <si>
    <t xml:space="preserve">Constr 43.9 / Mech 35.5 / Rolling stock 1.0 / Drums 14.7 / Defence 1.9 / Misc 2.9</t>
  </si>
  <si>
    <t xml:space="preserve">CRC (%)</t>
  </si>
  <si>
    <t xml:space="preserve">Constr 30.7 / Mech 54.6 / Metal other 11.0 / Defence 2.3 / Misc 1.4</t>
  </si>
  <si>
    <t xml:space="preserve">Galv / OCS (%)</t>
  </si>
  <si>
    <t xml:space="preserve">Constr 87.6 / Mech 3.0 / Metal other 6.6 / Misc 2.8</t>
  </si>
  <si>
    <t xml:space="preserve">Heavy sections (%)</t>
  </si>
  <si>
    <t xml:space="preserve">Constr 85.0 / Mech 9.9 / Defence 3.7 / Misc 1.4</t>
  </si>
  <si>
    <t xml:space="preserve">Light sections &amp; bar (%)</t>
  </si>
  <si>
    <t xml:space="preserve">Constr 75.6 / Mech 18.8 / Metal other 3.3 / Misc 2.3</t>
  </si>
  <si>
    <t xml:space="preserve">Rebar (%)</t>
  </si>
  <si>
    <t xml:space="preserve">Constr 97.8 / Metal other 1.1 / Misc 1.1</t>
  </si>
  <si>
    <t xml:space="preserve">Wire rod (%)</t>
  </si>
  <si>
    <t xml:space="preserve">Constr 52.4 / Mech 30.5 / Metal other 11.3 / Misc 5.8</t>
  </si>
  <si>
    <t xml:space="preserve">After wire and fasteners, which are sized bottom-up.</t>
  </si>
  <si>
    <t xml:space="preserve">SOURCES AND REFERENCES</t>
  </si>
  <si>
    <t xml:space="preserve">S = published sources consulted 7 November 2026 (link reached at that date). H = other published references (not re-verified online). JK = James King steel demand assessment by product. MCI = MCI 2026 industry discussions / best estimates, used wherever a source is not defined or is uncertain. P = companion SteelOnTheNet pages.</t>
  </si>
  <si>
    <t xml:space="preserve">Source</t>
  </si>
  <si>
    <t xml:space="preserve">Used for</t>
  </si>
  <si>
    <t xml:space="preserve">URL</t>
  </si>
  <si>
    <t xml:space="preserve">worldsteel, World Steel in Figures 2026 (published 4 June 2026)</t>
  </si>
  <si>
    <t xml:space="preserve">World apparent steel use (finished steel products), 2025: 1,718 Mt</t>
  </si>
  <si>
    <t xml:space="preserve">https://worldsteel.org/wp-content/uploads/World-Steel-in-Figures-2026.pdf</t>
  </si>
  <si>
    <t xml:space="preserve">Accessed 7 Nov 2026</t>
  </si>
  <si>
    <t xml:space="preserve">S2</t>
  </si>
  <si>
    <t xml:space="preserve">worldsteel, Short Range Outlooks April and October 2026</t>
  </si>
  <si>
    <t xml:space="preserve">Cross-check: 2026 forecast 1,724 Mt (+0.3%) implies 2025 = 1,718.8 Mt; October 2026: 1,722 Mt, essentially unchanged from 2025</t>
  </si>
  <si>
    <t xml:space="preserve">https://worldsteel.org/media/press-releases/2026/worldsteel-short-range-outlook-april-2026/ ; https://www.steelorbis.com/steel-news/latest-news/worldsteel-lowers-global-steel-demand-outlook-as-chinas-downturn-delays-recovery-1482953.htm</t>
  </si>
  <si>
    <t xml:space="preserve">S3</t>
  </si>
  <si>
    <t xml:space="preserve">OECD Steel Committee via SteelOrbis: global steel trade / China market shifts (2026)</t>
  </si>
  <si>
    <t xml:space="preserve">Chinese mills shifting from long to flat products</t>
  </si>
  <si>
    <t xml:space="preserve">https://www.steelorbis.com/steel-news/latest-news/oecd-global-steel-trade-shifts-as-chinas-exports-hit-record-high-despite-weak-world-trade-1457083.htm</t>
  </si>
  <si>
    <t xml:space="preserve">S4</t>
  </si>
  <si>
    <t xml:space="preserve">OICA, "Auto industry growth shifted east in 2025" (press release, Beijing, Apr 2026)</t>
  </si>
  <si>
    <t xml:space="preserve">World vehicle production 96.4m (2024: 92.7m)</t>
  </si>
  <si>
    <t xml:space="preserve">https://oica.net/auto-industry-growth-shifted-east-in-2025-amid-global-repositioning/</t>
  </si>
  <si>
    <t xml:space="preserve">S5</t>
  </si>
  <si>
    <t xml:space="preserve">OICA 2025 production by type, as reported by Ukravtoprom (mezha.ua) and OICA world table (afia.pt mirror)</t>
  </si>
  <si>
    <t xml:space="preserve">Cars 71.3m, LCV 20.9m, heavy trucks 3.9m, buses 0.32m; total 96,383,650</t>
  </si>
  <si>
    <t xml:space="preserve">https://mezha.ua/en/news/globalniy-avtoprom-u-2025-roci-zris-na-4-kitay-lidiruye-309728/ ; https://www.afia.pt/wp-content/uploads/2026/04/prod-total-2025.pdf</t>
  </si>
  <si>
    <t xml:space="preserve">Accessed 7 Nov 2026. Verify against oica.net/production-statistics tables</t>
  </si>
  <si>
    <t xml:space="preserve">S6</t>
  </si>
  <si>
    <t xml:space="preserve">worldsteel, Fact sheet: Advanced steel applications</t>
  </si>
  <si>
    <t xml:space="preserve">900 kg average steel per vehicle</t>
  </si>
  <si>
    <t xml:space="preserve">https://worldsteel.org/wp-content/uploads/Fact-sheet-Advanced-steel-applications.pdf</t>
  </si>
  <si>
    <t xml:space="preserve">CANSI 2025 shipbuilding results (via Tiger Brokers / SteelOrbis, Feb-Mar 2026)</t>
  </si>
  <si>
    <t xml:space="preserve">China completions 53.69m dwt = 56.1% of world</t>
  </si>
  <si>
    <t xml:space="preserve">https://www.itiger.com/hant/news/1149322097</t>
  </si>
  <si>
    <t xml:space="preserve">S8</t>
  </si>
  <si>
    <t xml:space="preserve">Clarksons Research via SteelOrbis (26 Dec 2025)</t>
  </si>
  <si>
    <t xml:space="preserve">World shipbuilding output 43.5m CGT in 2025 (+6%) - cross-check</t>
  </si>
  <si>
    <t xml:space="preserve">https://www.steelorbis.com/steel-news/latest-news/china-claims-59-of-new-shipbuilding-orders-globally-in-jan-nov-2025-1426401.htm</t>
  </si>
  <si>
    <t xml:space="preserve">World Market for Major Appliances (report listing, GII Research)</t>
  </si>
  <si>
    <t xml:space="preserve">570m units / USD 298bn in 2025</t>
  </si>
  <si>
    <t xml:space="preserve">https://www.giiresearch.com/report/eo1990821-world-market-major-appliances.html</t>
  </si>
  <si>
    <t xml:space="preserve">Accessed 7 Nov 2026 (summary only; full report paywalled)</t>
  </si>
  <si>
    <t xml:space="preserve">Arizton, Global HVAC Market Research Report 2026-2031</t>
  </si>
  <si>
    <t xml:space="preserve">Global HVAC market USD 215bn in 2025</t>
  </si>
  <si>
    <t xml:space="preserve">https://www.arizton.com/market-reports/hvac-market</t>
  </si>
  <si>
    <t xml:space="preserve">Accessed 7 Nov 2026 (summary only). Other houses quote USD 175-262bn</t>
  </si>
  <si>
    <t xml:space="preserve">The Loadstar, citing China Container Industry Association (2026)</t>
  </si>
  <si>
    <t xml:space="preserve">China container output 6.45m TEU in 2025; ~95% of world output</t>
  </si>
  <si>
    <t xml:space="preserve">https://theloadstar.com/container-production-in-china-to-fall-as-supply-demand-rebalances/</t>
  </si>
  <si>
    <t xml:space="preserve">IndexBox via wirenet.org: Iron and steel wire market</t>
  </si>
  <si>
    <t xml:space="preserve">World iron &amp; steel wire consumption ~35 Mt (2024)</t>
  </si>
  <si>
    <t xml:space="preserve">https://wirenet.org/?p=17053</t>
  </si>
  <si>
    <t xml:space="preserve">SIPRI, Trends in World Military Expenditure 2025 (Apr 2026)</t>
  </si>
  <si>
    <t xml:space="preserve">World military spend USD 2,887bn in 2025</t>
  </si>
  <si>
    <t xml:space="preserve">https://www.sipri.org/sites/default/files/Military%20Expenditure%202025.pdf</t>
  </si>
  <si>
    <t xml:space="preserve">S15</t>
  </si>
  <si>
    <t xml:space="preserve">worldsteel / Statista: steel use by sector (2023)</t>
  </si>
  <si>
    <t xml:space="preserve">Cross-check: buildings &amp; infrastructure 52%, automotive 12% (worldsteel sector definitions differ from MCI)</t>
  </si>
  <si>
    <t xml:space="preserve">https://statista.com/statistics/1107721/steel-usage-global-segment</t>
  </si>
  <si>
    <t xml:space="preserve">Global Info Research, Global Steel Sheet Pile Supply, Demand and Key Producers 2026-2032 (listing)</t>
  </si>
  <si>
    <t xml:space="preserve">Sheet pile production ~4.36 Mt in 2025</t>
  </si>
  <si>
    <t xml:space="preserve">https://marketpublishers.com/report/ferrous_metallurgy/steel-products/global-steel-sheet-pile-gir.html</t>
  </si>
  <si>
    <t xml:space="preserve">Accessed 7 Nov 2026 (summary only)</t>
  </si>
  <si>
    <t xml:space="preserve">Aztec Container, shipping container weight specifications</t>
  </si>
  <si>
    <t xml:space="preserve">40ft high-cube tare ~3,970 kg; 20ft 2,200-2,360 kg</t>
  </si>
  <si>
    <t xml:space="preserve">https://azteccontainer.com/?p=249966</t>
  </si>
  <si>
    <t xml:space="preserve">China fastener industry 2026 market report; CMCA data via Fastener World</t>
  </si>
  <si>
    <t xml:space="preserve">China fastener output ~9.78 Mt (2023); 7.6 Mt (2018)</t>
  </si>
  <si>
    <t xml:space="preserve">https://faxiangongchang.com/en/reports/china-fastener-industry-2026-market-report ; https://www.fastener-world.com/en/article/6864.html</t>
  </si>
  <si>
    <t xml:space="preserve">S19</t>
  </si>
  <si>
    <t xml:space="preserve">China Daily, "Steel sector to be innovation powerhouse" (4 Feb 2026), citing NBS and CISA</t>
  </si>
  <si>
    <t xml:space="preserve">China apparent consumption 829 Mt (-7.1%); construction share 49%, manufacturing 51%</t>
  </si>
  <si>
    <t xml:space="preserve">https://global.chinadaily.com.cn/a/202602/04/WS69827f28a310d6866eb374b1.html</t>
  </si>
  <si>
    <t xml:space="preserve">S20</t>
  </si>
  <si>
    <t xml:space="preserve">SunSirs, citing China Metallurgical News (2026)</t>
  </si>
  <si>
    <t xml:space="preserve">China 2025: machinery ~180 Mt, energy 51.3 Mt, shipbuilding 16.5 Mt</t>
  </si>
  <si>
    <t xml:space="preserve">https://www.sunsirs.com/commodity-news/petail-33310.html</t>
  </si>
  <si>
    <t xml:space="preserve">S21</t>
  </si>
  <si>
    <t xml:space="preserve">SteelOrbis, "China's steel demand to drop slightly in 2026..." (2026)</t>
  </si>
  <si>
    <t xml:space="preserve">China automotive steel ~65 Mt in 2025 (+11%); real estate share ~23%</t>
  </si>
  <si>
    <t xml:space="preserve">https://www.steelorbis.com/steel-news/latest-news/chinas-steel-demand-to-drop-slightly-in-2026-as-construction-slump-may-neutralize-gains-from-manufacturing-1467349.htm</t>
  </si>
  <si>
    <t xml:space="preserve">S22</t>
  </si>
  <si>
    <t xml:space="preserve">SteelOrbis, MPI forecast for 2025 (China Metallurgical Industry Planning and Research Institute)</t>
  </si>
  <si>
    <t xml:space="preserve">China 2025: construction 444 Mt, machinery 179 Mt, appliances 19.4 Mt, energy 49.5 Mt</t>
  </si>
  <si>
    <t xml:space="preserve">https://www.steelorbis.com/steel-news/latest-news/mpi-decrease-in-steel-demand-in-china-to-slow-down-in-2025-amid-growth-in-4-major-industries-1372204.htm</t>
  </si>
  <si>
    <t xml:space="preserve">Accessed 7 Nov 2026 (forecast, not outturn)</t>
  </si>
  <si>
    <t xml:space="preserve">S23</t>
  </si>
  <si>
    <t xml:space="preserve">Mysteel forecast for 2025 via SEAISI</t>
  </si>
  <si>
    <t xml:space="preserve">China 2025: automobile 74.2 Mt, appliances 28.5 Mt, shipbuilding 17.8 Mt, containers 6.2 Mt</t>
  </si>
  <si>
    <t xml:space="preserve">https://www.seaisi.org/details/25925?type=news-rooms</t>
  </si>
  <si>
    <t xml:space="preserve">S24</t>
  </si>
  <si>
    <t xml:space="preserve">IDOM, Steel and Automotive Industry (June 2026)</t>
  </si>
  <si>
    <t xml:space="preserve">China automotive steel 48.4 Mt in 2024</t>
  </si>
  <si>
    <t xml:space="preserve">https://www.idom.com/wp-content/uploads/2026/06/Steel-and-Automotive-Industry-Strategic-Opportunities-in-a-Transforming-Ecosystem-Vfinal.pdf</t>
  </si>
  <si>
    <t xml:space="preserve">Indian steel IPO prospectus summary (multibagg.ai); IANS report on India steel demand</t>
  </si>
  <si>
    <t xml:space="preserve">India 159.8 Mt in CY2025; global finished steel 1,718 Mt; auto 13.7 Mt (FY25); construction &amp; infrastructure 59%</t>
  </si>
  <si>
    <t xml:space="preserve">https://www.multibagg.ai/market-pulse/articles/ipo/india-steel-consumption-global-decline-rhp-cmvt4sm8n000u23pnk7gyhbmc ; https://ianslive.in/indias-steel-consumption-likely-to-reach-192-million-tonnes-by-2030--20260816095857</t>
  </si>
  <si>
    <t xml:space="preserve">EUROFER via GMK Center and Eurometal (2026)</t>
  </si>
  <si>
    <t xml:space="preserve">EU apparent consumption 134.4 Mt in 2025; construction 37% of consumption</t>
  </si>
  <si>
    <t xml:space="preserve">https://gmk.center/en/news/apparent-steel-consumption-in-the-eu-is-set-to-rise-by-4-4-y-y-in-2025-eurofer/ ; https://eurometal.net/construction-to-remain-key-support-for-eu-steel-demand-in-2026/</t>
  </si>
  <si>
    <t xml:space="preserve">USGS, Mineral Commodity Summaries 2026: Iron and Steel</t>
  </si>
  <si>
    <t xml:space="preserve">US apparent consumption ~95 Mt; shipments: construction 31%, service centres 26%, automotive 15%</t>
  </si>
  <si>
    <t xml:space="preserve">https://pubs.usgs.gov/periodicals/mcs2026/mcs2026-iron-steel.pdf</t>
  </si>
  <si>
    <t xml:space="preserve">S28</t>
  </si>
  <si>
    <t xml:space="preserve">OCTG market reports: Ken Research (12.97 Mt, 2025); 360 Research Reports (9.4 Mt, 2025); Fastmarkets (forecast 17.7-18.4 Mt for 2025, made 2020)</t>
  </si>
  <si>
    <t xml:space="preserve">OCTG tonnage</t>
  </si>
  <si>
    <t xml:space="preserve">https://www.kenresearch.com/global-oil-country-tubular-goods-octg-market ; https://www.360researchreports.com/market-reports/oil-country-tubular-goods-octg-market-204649</t>
  </si>
  <si>
    <t xml:space="preserve">Accessed 7 Nov 2026 (summaries only)</t>
  </si>
  <si>
    <t xml:space="preserve">S29</t>
  </si>
  <si>
    <t xml:space="preserve">Linepipe and pipe demand: Hydrocarbon Engineering (CRU, 2010); Tube China (China pipe demand, 14th FYP); Freedonia via World Pipelines (2016)</t>
  </si>
  <si>
    <t xml:space="preserve">Linepipe ~15-25 Mt; China line pipe ~6 Mt/yr; O&amp;G over half of 67 Mt steel pipe (2014)</t>
  </si>
  <si>
    <t xml:space="preserve">https://www.hydrocarbonengineering.com/gas-processing/03022010/tube_2010_report ; https://www.tubechina.net/en/news/info/1763.html ; https://www.worldpipelines.com/business-news/02032016/Update-global-demand-for-steel-pipe/</t>
  </si>
  <si>
    <t xml:space="preserve">Accessed 7 Nov 2026 (older data)</t>
  </si>
  <si>
    <t xml:space="preserve">SteelOrbis (NBS): China rebar / wire rod / welded pipe output Jan-Aug 2025; SunSirs: seamless tube capacity</t>
  </si>
  <si>
    <t xml:space="preserve">Welded pipe 39.9 Mt Jan-Aug 2025 (+3.4%); seamless capacity 42.91 Mt</t>
  </si>
  <si>
    <t xml:space="preserve">https://www.steelorbis.com/steel-news/latest-news/chinas-rebar-output-up-03-percent-in-january-august-2025-1410478.htm ; https://www.sunsirs.com/uk/detail_news-29510.html</t>
  </si>
  <si>
    <t xml:space="preserve">S31</t>
  </si>
  <si>
    <t xml:space="preserve">Eurometal / Kallanish, "Defence spending not seen notably spurring EU plate"; EU Steel &amp; Metals Action Plan via Politico/eceee</t>
  </si>
  <si>
    <t xml:space="preserve">Under 1% of EU plate to defence; MBT holds 50-60 t steel</t>
  </si>
  <si>
    <t xml:space="preserve">https://eurometal.net/defence-spending-not-seen-notably-spurring-eu-plate/ ; https://www.eceee.org/all-news/news/no-industry-no-tanks-eu-bets-on-more-clean-steel-to-secure-its-future/</t>
  </si>
  <si>
    <t xml:space="preserve">GlobalMilitary.net, 2026 ground-forces inventory</t>
  </si>
  <si>
    <t xml:space="preserve">Main battle tanks 56,821 active + 5,927 stored; towed artillery 36,832; self-propelled 20,964; US armoured vehicles 171,065</t>
  </si>
  <si>
    <t xml:space="preserve">https://www.globalmilitary.net/news/largest-main-battle-tank-fleets-ranked-2026/ ; https://www.globalmilitary.net/news/towed-versus-self-propelled-artillery-world-fleets-2026/ ; https://www.globalmilitary.net/compare/armies/usa-vs-rus/</t>
  </si>
  <si>
    <t xml:space="preserve">Global Firepower 2026, aircraft fleet strength; Migflug world military strength 2026</t>
  </si>
  <si>
    <t xml:space="preserve">US 13,032 military aircraft, ~25% of the world total</t>
  </si>
  <si>
    <t xml:space="preserve">https://www.globalfirepower.com/aircraft-total.php ; https://migflug.com/afterburner/world-military-strength-compared-aircraft-ships-troops-spending-2026/</t>
  </si>
  <si>
    <t xml:space="preserve">S34</t>
  </si>
  <si>
    <t xml:space="preserve">Euronaval / Flottes de Combat / GICAN, World Defense Shipbuilding 2026 (via Defense News and ShipUniverse)</t>
  </si>
  <si>
    <t xml:space="preserve">Global naval construction ~1.47 Mt in 2024-25; China 636,208 t; US 270,509 t</t>
  </si>
  <si>
    <t xml:space="preserve">https://defensenews.com/naval/2026/10/20/china-built-more-than-twice-naval-tonnage-of-us-in-2024-25-euronaval/ ; https://www.shipuniverse.com/?p=24272</t>
  </si>
  <si>
    <t xml:space="preserve">Euronews (Estonian intelligence, EU targets); Business Insider (US output)</t>
  </si>
  <si>
    <t xml:space="preserve">Russia ~4.5m shells in 2024; EU target 2m a year; US ~40,000 155mm a month</t>
  </si>
  <si>
    <t xml:space="preserve">https://www.euronews.com/2025/07/16/is-russia-producing-a-years-worth-of-nato-ammunition-in-three-months ; https://www.aol.com/russia-track-build-artillery-shell-044653081.html</t>
  </si>
  <si>
    <t xml:space="preserve">S36</t>
  </si>
  <si>
    <t xml:space="preserve">General Dynamics OTS, 155mm M107 HE projectile data sheet</t>
  </si>
  <si>
    <t xml:space="preserve">43.2 kg with fuze; 6.6 kg explosive; forged steel body</t>
  </si>
  <si>
    <t xml:space="preserve">https://www.gd-ots.com/wp-content/uploads/2017/11/155mm-M107-HE_US.pdf</t>
  </si>
  <si>
    <t xml:space="preserve">S37</t>
  </si>
  <si>
    <t xml:space="preserve">NATO official via Espreso; ISW via Ukrainska Pravda</t>
  </si>
  <si>
    <t xml:space="preserve">Russia ~130 tanks and ~183 IFV/APC a month (2025); 1,500 tanks and 2,800 IFV/APC in 2024</t>
  </si>
  <si>
    <t xml:space="preserve">https://global.espreso.tv/russias-armored-vehicle-production-at-its-peak-nato-says ; https://www.pravda.com.ua/eng/news/2025/02/14/7498238</t>
  </si>
  <si>
    <t xml:space="preserve">James King, steel demand assessment by product (SteelOnTheNet)</t>
  </si>
  <si>
    <t xml:space="preserve">Flat / long / tube demand and split into 11 products</t>
  </si>
  <si>
    <t xml:space="preserve">https://www.steelonthenet.com/commerce/about/jfk.html</t>
  </si>
  <si>
    <t xml:space="preserve">Product demand source</t>
  </si>
  <si>
    <t xml:space="preserve">Metals Consulting International Limited</t>
  </si>
  <si>
    <t xml:space="preserve">MCI 2026 industry discussions / best estimates</t>
  </si>
  <si>
    <t xml:space="preserve">https://www.steelonthenet.com</t>
  </si>
  <si>
    <t xml:space="preserve">Used where a source is not defined or is uncertain</t>
  </si>
  <si>
    <t xml:space="preserve">Autosteel / AISI, Trends in steel content of North American autos</t>
  </si>
  <si>
    <t xml:space="preserve">Steel per heavy truck 3.25 t</t>
  </si>
  <si>
    <t xml:space="preserve">https://www.autosteel.org</t>
  </si>
  <si>
    <t xml:space="preserve">Not re-verified online</t>
  </si>
  <si>
    <t xml:space="preserve">H2</t>
  </si>
  <si>
    <t xml:space="preserve">Eurostat, Panorama of EU Industry</t>
  </si>
  <si>
    <t xml:space="preserve">Product-by-sector cross-checks</t>
  </si>
  <si>
    <t xml:space="preserve">Print publication</t>
  </si>
  <si>
    <t xml:space="preserve">P1</t>
  </si>
  <si>
    <t xml:space="preserve">SteelOnTheNet, World Steel Demand 2025 (consumption page)</t>
  </si>
  <si>
    <t xml:space="preserve">Regional, product-shape and end-use demand tables</t>
  </si>
  <si>
    <t xml:space="preserve">https://www.steelonthenet.com/resources/market-data/consumption.html</t>
  </si>
  <si>
    <t xml:space="preserve">Companion page</t>
  </si>
  <si>
    <t xml:space="preserve">SteelOnTheNet, automotive steel analysis</t>
  </si>
  <si>
    <t xml:space="preserve">Steel weight per car</t>
  </si>
  <si>
    <t xml:space="preserve">https://www.steelonthenet.com/files/automotive.html</t>
  </si>
  <si>
    <t xml:space="preserve">Source for steel per car</t>
  </si>
  <si>
    <t xml:space="preserve">P2</t>
  </si>
  <si>
    <t xml:space="preserve">SteelOnTheNet, World Steel End-Use Analysis 2025</t>
  </si>
  <si>
    <t xml:space="preserve">This analysis: method, results and download</t>
  </si>
  <si>
    <t xml:space="preserve">https://www.steelonthenet.com/resources/market-data/steel-end-use.html</t>
  </si>
  <si>
    <t xml:space="preserve">NOTES, METHOD AND DEFINITIONS</t>
  </si>
  <si>
    <t xml:space="preserve">1. Start from world finished steel demand of 1,718 Mt for 2025 (apparent steel use, finished steel products; worldsteel, World Steel in Figures 2026).</t>
  </si>
  <si>
    <t xml:space="preserve">2. Split the total into flat, long and tube products, then into 11 products, using the James King steel demand assessment by product (Inputs, Product supply).</t>
  </si>
  <si>
    <t xml:space="preserve">3. Size sectors with good physical drivers bottom-up: vehicles, trucks, buses, ships, rail track, aircraft, appliances, HVAC ducting, containers, tinplate packaging, wire, fasteners, oil rigs, defence equipment and sheet piling (Sector build).</t>
  </si>
  <si>
    <t xml:space="preserve">4. Share the product left over among construction, mechanical engineering, rolling stock, metal products, oil &amp; gas, defence buildings and miscellaneous using MCI distribution percentages (Residual allocation).</t>
  </si>
  <si>
    <t xml:space="preserve">5. Combine into a 23 x 11 matrix and a 9-sector summary. Every product column reconciles to supply and the total to 1,718 Mt (End-use matrix).</t>
  </si>
  <si>
    <t xml:space="preserve">6. Test each sector against independent 2025 evidence (Cross-checks). Chart shares are rounded with the largest-remainder method so they total 100%.</t>
  </si>
  <si>
    <t xml:space="preserve">Sources</t>
  </si>
  <si>
    <t xml:space="preserve">Every input carries a source reference (see Sources). Where a source is not defined or is uncertain, the source is MCI 2026 industry discussions / best estimates.</t>
  </si>
  <si>
    <t xml:space="preserve">Points of judgement</t>
  </si>
  <si>
    <t xml:space="preserve">- Fasteners: could sit in metal products, construction or mechanical engineering; here they are metal products.</t>
  </si>
  <si>
    <t xml:space="preserve">- HVAC ducting: treated as mechanical engineering, not metal fabrication or tube.</t>
  </si>
  <si>
    <t xml:space="preserve">- Rebar in military buildings: treated as defence (building reinforcement), not construction.</t>
  </si>
  <si>
    <t xml:space="preserve">- Oil &amp; gas: includes exploration and transport tube (OCTG, linepipe, large-diameter pipe) and rig construction. A narrower definition would move part of the welded pipe to construction and engineering (see Cross-checks).</t>
  </si>
  <si>
    <t xml:space="preserve">- worldsteel publishes a different split (buildings &amp; infrastructure ~52%, automotive ~12%) on wider sector definitions that include, for example, trucks and some electrical equipment; the MCI split is not directly comparable.</t>
  </si>
  <si>
    <t xml:space="preserve">Product definitions</t>
  </si>
  <si>
    <t xml:space="preserve">Sheet piling: U- and Z-shaped structural supports, typically 8-20 mm thick.</t>
  </si>
  <si>
    <t xml:space="preserve">Plate &amp; HRC: plate over 3 mm plus hot rolled coil, strip and sheet.</t>
  </si>
  <si>
    <t xml:space="preserve">CRC: cold rolled coil, strip and sheet.</t>
  </si>
  <si>
    <t xml:space="preserve">Galv / OCS: zinc and zinc-aluminium coated coil, sheet and strip, plus organic coated and other painted sheet.</t>
  </si>
  <si>
    <t xml:space="preserve">Tinplate: tinplate including tin-free steel (TFS).</t>
  </si>
  <si>
    <t xml:space="preserve">Heavy sections: H, I and U beams.</t>
  </si>
  <si>
    <t xml:space="preserve">Rail: steel rail for railway track.</t>
  </si>
  <si>
    <t xml:space="preserve">Light sections &amp; bar: hot rolled bar other than rebar and rod, including light sections, channels, angles, squares and small flats.</t>
  </si>
  <si>
    <t xml:space="preserve">Rebar: reinforcing bar.  Wire rod: coiled bar product, typically under 8 mm diameter.  Tube: seamless and welded tube.</t>
  </si>
  <si>
    <t xml:space="preserve">Sector definitions</t>
  </si>
  <si>
    <t xml:space="preserve">Construction: structural and building work including infrastructure, plus structural tube.</t>
  </si>
  <si>
    <t xml:space="preserve">Mechanical engineering: mechanical and electrical engineering (plant, machinery, components, motors), including HVAC and some pipe.</t>
  </si>
  <si>
    <t xml:space="preserve">Automotive: passenger cars and light commercial vehicles.</t>
  </si>
  <si>
    <t xml:space="preserve">Other transport: shipbuilding, rail (track and rolling stock), heavy trucks, buses and coaches, aircraft.</t>
  </si>
  <si>
    <t xml:space="preserve">Domestic appliances: white goods production.</t>
  </si>
  <si>
    <t xml:space="preserve">Metal products: containers, drums, boxes and tins, fasteners, wire products (fencing, springs), furniture tube and other fabrication.</t>
  </si>
  <si>
    <t xml:space="preserve">Oil and gas: exploration and transport tube (OCTG, linepipe, LDP) and rig construction.</t>
  </si>
  <si>
    <t xml:space="preserve">Defence: building reinforcement for military facilities, military equipment (ships, submarines, armour, aircraft, artillery) and artillery ammunition.</t>
  </si>
  <si>
    <t xml:space="preserve">Miscellaneous: all other uses.</t>
  </si>
  <si>
    <t xml:space="preserve">Colour key</t>
  </si>
  <si>
    <t xml:space="preserve">Blue text = hard-coded input.  Black = formula.  Green = link to another sheet.  Yellow fill = key assumption.  Blue-grey fill = totals.</t>
  </si>
</sst>
</file>

<file path=xl/styles.xml><?xml version="1.0" encoding="utf-8"?>
<styleSheet xmlns="http://schemas.openxmlformats.org/spreadsheetml/2006/main">
  <numFmts count="13">
    <numFmt numFmtId="164" formatCode="General"/>
    <numFmt numFmtId="165" formatCode="#,##0"/>
    <numFmt numFmtId="166" formatCode="0.0%"/>
    <numFmt numFmtId="167" formatCode="0%"/>
    <numFmt numFmtId="168" formatCode="0"/>
    <numFmt numFmtId="169" formatCode="0.00"/>
    <numFmt numFmtId="170" formatCode="#,##0.0;\(#,##0.0\);\-"/>
    <numFmt numFmtId="171" formatCode="#,##0.00;\(#,##0.00\);\-"/>
    <numFmt numFmtId="172" formatCode="0.0%;\(0.0%\);\-"/>
    <numFmt numFmtId="173" formatCode="#,##0.00"/>
    <numFmt numFmtId="174" formatCode="#,##0.0"/>
    <numFmt numFmtId="175" formatCode="0.000"/>
    <numFmt numFmtId="176" formatCode="0.0"/>
  </numFmts>
  <fonts count="18">
    <font>
      <sz val="11"/>
      <color theme="1"/>
      <name val="Calibri"/>
      <family val="2"/>
      <charset val="1"/>
    </font>
    <font>
      <sz val="10"/>
      <name val="Arial"/>
      <family val="0"/>
    </font>
    <font>
      <sz val="10"/>
      <name val="Arial"/>
      <family val="0"/>
    </font>
    <font>
      <sz val="10"/>
      <name val="Arial"/>
      <family val="0"/>
    </font>
    <font>
      <b val="true"/>
      <u val="single"/>
      <sz val="14"/>
      <color rgb="FF1F3864"/>
      <name val="Arial"/>
      <family val="0"/>
      <charset val="1"/>
    </font>
    <font>
      <u val="single"/>
      <sz val="9"/>
      <color rgb="FF0563C1"/>
      <name val="Arial"/>
      <family val="0"/>
      <charset val="1"/>
    </font>
    <font>
      <i val="true"/>
      <sz val="9"/>
      <color rgb="FF595959"/>
      <name val="Arial"/>
      <family val="0"/>
      <charset val="1"/>
    </font>
    <font>
      <i val="true"/>
      <u val="single"/>
      <sz val="9"/>
      <color rgb="FF0563C1"/>
      <name val="Arial"/>
      <family val="0"/>
      <charset val="1"/>
    </font>
    <font>
      <b val="true"/>
      <sz val="10"/>
      <color rgb="FFFFFFFF"/>
      <name val="Arial"/>
      <family val="0"/>
      <charset val="1"/>
    </font>
    <font>
      <sz val="10"/>
      <name val="Arial"/>
      <family val="0"/>
      <charset val="1"/>
    </font>
    <font>
      <sz val="10"/>
      <color rgb="FF008000"/>
      <name val="Arial"/>
      <family val="0"/>
      <charset val="1"/>
    </font>
    <font>
      <b val="true"/>
      <sz val="10"/>
      <name val="Arial"/>
      <family val="0"/>
      <charset val="1"/>
    </font>
    <font>
      <b val="true"/>
      <sz val="11"/>
      <color rgb="FF1F3864"/>
      <name val="Arial"/>
      <family val="0"/>
      <charset val="1"/>
    </font>
    <font>
      <b val="true"/>
      <sz val="18"/>
      <color rgb="FF000000"/>
      <name val="Calibri"/>
      <family val="2"/>
    </font>
    <font>
      <sz val="10"/>
      <color rgb="FF000000"/>
      <name val="Calibri"/>
      <family val="2"/>
    </font>
    <font>
      <u val="single"/>
      <sz val="10"/>
      <color rgb="FF0563C1"/>
      <name val="Arial"/>
      <family val="0"/>
      <charset val="1"/>
    </font>
    <font>
      <sz val="10"/>
      <color rgb="FF0000FF"/>
      <name val="Arial"/>
      <family val="0"/>
      <charset val="1"/>
    </font>
    <font>
      <sz val="10"/>
      <name val="Arial"/>
      <family val="2"/>
    </font>
  </fonts>
  <fills count="6">
    <fill>
      <patternFill patternType="none"/>
    </fill>
    <fill>
      <patternFill patternType="gray125"/>
    </fill>
    <fill>
      <patternFill patternType="solid">
        <fgColor rgb="FF1F3864"/>
        <bgColor rgb="FF333399"/>
      </patternFill>
    </fill>
    <fill>
      <patternFill patternType="solid">
        <fgColor rgb="FFD9E1F2"/>
        <bgColor rgb="FFD9D9D9"/>
      </patternFill>
    </fill>
    <fill>
      <patternFill patternType="solid">
        <fgColor rgb="FFE2EFDA"/>
        <bgColor rgb="FFD9E1F2"/>
      </patternFill>
    </fill>
    <fill>
      <patternFill patternType="solid">
        <fgColor rgb="FFFFF2CC"/>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right" vertical="center"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true" applyAlignment="true" applyProtection="false">
      <alignment horizontal="general" vertical="center" textRotation="0" wrapText="true" indent="0" shrinkToFit="false"/>
      <protection locked="true" hidden="false"/>
    </xf>
    <xf numFmtId="164" fontId="8" fillId="2" borderId="0" xfId="0" applyFont="true" applyBorder="false" applyAlignment="true" applyProtection="false">
      <alignment horizontal="center" vertical="center" textRotation="0" wrapText="tru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5" fontId="10" fillId="0" borderId="0" xfId="0" applyFont="true" applyBorder="false" applyAlignment="false" applyProtection="false">
      <alignment horizontal="general" vertical="bottom" textRotation="0" wrapText="false" indent="0" shrinkToFit="false"/>
      <protection locked="true" hidden="false"/>
    </xf>
    <xf numFmtId="166" fontId="9" fillId="0" borderId="0" xfId="0" applyFont="true" applyBorder="false" applyAlignment="false" applyProtection="false">
      <alignment horizontal="general" vertical="bottom" textRotation="0" wrapText="false" indent="0" shrinkToFit="false"/>
      <protection locked="true" hidden="false"/>
    </xf>
    <xf numFmtId="167" fontId="11" fillId="0" borderId="0" xfId="0" applyFont="true" applyBorder="false" applyAlignment="false" applyProtection="false">
      <alignment horizontal="general" vertical="bottom" textRotation="0" wrapText="false" indent="0" shrinkToFit="false"/>
      <protection locked="true" hidden="false"/>
    </xf>
    <xf numFmtId="168" fontId="6" fillId="0" borderId="0" xfId="0" applyFont="true" applyBorder="false" applyAlignment="false" applyProtection="false">
      <alignment horizontal="general" vertical="bottom" textRotation="0" wrapText="false" indent="0" shrinkToFit="false"/>
      <protection locked="true" hidden="false"/>
    </xf>
    <xf numFmtId="169" fontId="6" fillId="0" borderId="0" xfId="0" applyFont="true" applyBorder="false" applyAlignment="false" applyProtection="false">
      <alignment horizontal="general" vertical="bottom" textRotation="0" wrapText="false" indent="0" shrinkToFit="false"/>
      <protection locked="true" hidden="false"/>
    </xf>
    <xf numFmtId="164" fontId="11" fillId="3" borderId="0" xfId="0" applyFont="true" applyBorder="false" applyAlignment="false" applyProtection="false">
      <alignment horizontal="general" vertical="bottom" textRotation="0" wrapText="false" indent="0" shrinkToFit="false"/>
      <protection locked="true" hidden="false"/>
    </xf>
    <xf numFmtId="165" fontId="11" fillId="3" borderId="0" xfId="0" applyFont="true" applyBorder="false" applyAlignment="false" applyProtection="false">
      <alignment horizontal="general" vertical="bottom" textRotation="0" wrapText="false" indent="0" shrinkToFit="false"/>
      <protection locked="true" hidden="false"/>
    </xf>
    <xf numFmtId="166" fontId="11" fillId="3" borderId="0" xfId="0" applyFont="true" applyBorder="false" applyAlignment="false" applyProtection="false">
      <alignment horizontal="general" vertical="bottom" textRotation="0" wrapText="false" indent="0" shrinkToFit="false"/>
      <protection locked="true" hidden="false"/>
    </xf>
    <xf numFmtId="167" fontId="11" fillId="3"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general" vertical="top"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70" fontId="9" fillId="0" borderId="0" xfId="0" applyFont="true" applyBorder="false" applyAlignment="false" applyProtection="false">
      <alignment horizontal="general" vertical="bottom" textRotation="0" wrapText="false" indent="0" shrinkToFit="false"/>
      <protection locked="true" hidden="false"/>
    </xf>
    <xf numFmtId="171" fontId="9"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1" fillId="4" borderId="0" xfId="0" applyFont="true" applyBorder="false" applyAlignment="false" applyProtection="false">
      <alignment horizontal="general" vertical="bottom" textRotation="0" wrapText="false" indent="0" shrinkToFit="false"/>
      <protection locked="true" hidden="false"/>
    </xf>
    <xf numFmtId="172" fontId="9"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center" textRotation="0" wrapText="true" indent="0" shrinkToFit="false"/>
      <protection locked="true" hidden="false"/>
    </xf>
    <xf numFmtId="164" fontId="9" fillId="0" borderId="0" xfId="0" applyFont="true" applyBorder="false" applyAlignment="true" applyProtection="false">
      <alignment horizontal="general" vertical="top" textRotation="0" wrapText="true" indent="0" shrinkToFit="false"/>
      <protection locked="true" hidden="false"/>
    </xf>
    <xf numFmtId="164" fontId="15" fillId="0" borderId="0" xfId="0" applyFont="true" applyBorder="false" applyAlignment="true" applyProtection="false">
      <alignment horizontal="general" vertical="top" textRotation="0" wrapText="true" indent="0" shrinkToFit="false"/>
      <protection locked="true" hidden="false"/>
    </xf>
    <xf numFmtId="165" fontId="16" fillId="5" borderId="1"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top" textRotation="0" wrapText="true" indent="0" shrinkToFit="false"/>
      <protection locked="true" hidden="false"/>
    </xf>
    <xf numFmtId="173" fontId="16" fillId="5" borderId="1" xfId="0" applyFont="true" applyBorder="true" applyAlignment="false" applyProtection="false">
      <alignment horizontal="general" vertical="bottom" textRotation="0" wrapText="false" indent="0" shrinkToFit="false"/>
      <protection locked="true" hidden="false"/>
    </xf>
    <xf numFmtId="173" fontId="16" fillId="0" borderId="1" xfId="0" applyFont="true" applyBorder="true" applyAlignment="false" applyProtection="false">
      <alignment horizontal="general" vertical="bottom" textRotation="0" wrapText="false" indent="0" shrinkToFit="false"/>
      <protection locked="true" hidden="false"/>
    </xf>
    <xf numFmtId="172" fontId="16" fillId="0" borderId="1" xfId="0" applyFont="true" applyBorder="true" applyAlignment="false" applyProtection="false">
      <alignment horizontal="general" vertical="bottom" textRotation="0" wrapText="false" indent="0" shrinkToFit="false"/>
      <protection locked="true" hidden="false"/>
    </xf>
    <xf numFmtId="165" fontId="16" fillId="0" borderId="1" xfId="0" applyFont="true" applyBorder="true" applyAlignment="false" applyProtection="false">
      <alignment horizontal="general" vertical="bottom" textRotation="0" wrapText="false" indent="0" shrinkToFit="false"/>
      <protection locked="true" hidden="false"/>
    </xf>
    <xf numFmtId="172" fontId="16" fillId="5" borderId="1" xfId="0" applyFont="true" applyBorder="true" applyAlignment="false" applyProtection="false">
      <alignment horizontal="general" vertical="bottom" textRotation="0" wrapText="false" indent="0" shrinkToFit="false"/>
      <protection locked="true" hidden="false"/>
    </xf>
    <xf numFmtId="171" fontId="16" fillId="0" borderId="0" xfId="0" applyFont="true" applyBorder="false" applyAlignment="false" applyProtection="false">
      <alignment horizontal="general" vertical="bottom" textRotation="0" wrapText="false" indent="0" shrinkToFit="false"/>
      <protection locked="true" hidden="false"/>
    </xf>
    <xf numFmtId="170" fontId="10" fillId="0"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70" fontId="11" fillId="3" borderId="0" xfId="0" applyFont="true" applyBorder="false" applyAlignment="false" applyProtection="false">
      <alignment horizontal="general" vertical="bottom" textRotation="0" wrapText="false" indent="0" shrinkToFit="false"/>
      <protection locked="true" hidden="false"/>
    </xf>
    <xf numFmtId="172" fontId="11" fillId="3" borderId="0" xfId="0" applyFont="true" applyBorder="false" applyAlignment="false" applyProtection="false">
      <alignment horizontal="general" vertical="bottom" textRotation="0" wrapText="false" indent="0" shrinkToFit="false"/>
      <protection locked="true" hidden="false"/>
    </xf>
    <xf numFmtId="171" fontId="6" fillId="0" borderId="0" xfId="0" applyFont="true" applyBorder="false" applyAlignment="false" applyProtection="false">
      <alignment horizontal="general" vertical="bottom" textRotation="0" wrapText="false" indent="0" shrinkToFit="false"/>
      <protection locked="true" hidden="false"/>
    </xf>
    <xf numFmtId="165" fontId="9" fillId="0" borderId="0" xfId="0" applyFont="true" applyBorder="false" applyAlignment="false" applyProtection="false">
      <alignment horizontal="general" vertical="bottom" textRotation="0" wrapText="false" indent="0" shrinkToFit="false"/>
      <protection locked="true" hidden="false"/>
    </xf>
    <xf numFmtId="171" fontId="11" fillId="0" borderId="0" xfId="0" applyFont="true" applyBorder="false" applyAlignment="false" applyProtection="false">
      <alignment horizontal="general" vertical="bottom" textRotation="0" wrapText="false" indent="0" shrinkToFit="false"/>
      <protection locked="true" hidden="false"/>
    </xf>
    <xf numFmtId="172" fontId="16" fillId="0" borderId="0" xfId="0" applyFont="true" applyBorder="false" applyAlignment="false" applyProtection="false">
      <alignment horizontal="general" vertical="bottom" textRotation="0" wrapText="false" indent="0" shrinkToFit="false"/>
      <protection locked="true" hidden="false"/>
    </xf>
    <xf numFmtId="172" fontId="10" fillId="0" borderId="0" xfId="0" applyFont="true" applyBorder="false" applyAlignment="false" applyProtection="false">
      <alignment horizontal="general" vertical="bottom" textRotation="0" wrapText="false" indent="0" shrinkToFit="false"/>
      <protection locked="true" hidden="false"/>
    </xf>
    <xf numFmtId="170" fontId="11" fillId="0" borderId="0" xfId="0" applyFont="true" applyBorder="false" applyAlignment="false" applyProtection="false">
      <alignment horizontal="general" vertical="bottom" textRotation="0" wrapText="false" indent="0" shrinkToFit="false"/>
      <protection locked="true" hidden="false"/>
    </xf>
    <xf numFmtId="165" fontId="16" fillId="0" borderId="0" xfId="0" applyFont="true" applyBorder="false" applyAlignment="false" applyProtection="false">
      <alignment horizontal="general" vertical="bottom" textRotation="0" wrapText="false" indent="0" shrinkToFit="false"/>
      <protection locked="true" hidden="false"/>
    </xf>
    <xf numFmtId="174" fontId="16" fillId="0" borderId="0" xfId="0" applyFont="true" applyBorder="false" applyAlignment="false" applyProtection="false">
      <alignment horizontal="general" vertical="bottom" textRotation="0" wrapText="false" indent="0" shrinkToFit="false"/>
      <protection locked="true" hidden="false"/>
    </xf>
    <xf numFmtId="168" fontId="10" fillId="0" borderId="0" xfId="0" applyFont="true" applyBorder="false" applyAlignment="false" applyProtection="false">
      <alignment horizontal="general" vertical="bottom" textRotation="0" wrapText="false" indent="0" shrinkToFit="false"/>
      <protection locked="true" hidden="false"/>
    </xf>
    <xf numFmtId="167" fontId="10" fillId="0" borderId="0" xfId="0" applyFont="true" applyBorder="false" applyAlignment="false" applyProtection="false">
      <alignment horizontal="general" vertical="bottom" textRotation="0" wrapText="false" indent="0" shrinkToFit="false"/>
      <protection locked="true" hidden="false"/>
    </xf>
    <xf numFmtId="174" fontId="11" fillId="0" borderId="0" xfId="0" applyFont="true" applyBorder="false" applyAlignment="false" applyProtection="false">
      <alignment horizontal="general" vertical="bottom" textRotation="0" wrapText="false" indent="0" shrinkToFit="false"/>
      <protection locked="true" hidden="false"/>
    </xf>
    <xf numFmtId="175" fontId="16" fillId="0" borderId="0" xfId="0" applyFont="true" applyBorder="false" applyAlignment="false" applyProtection="false">
      <alignment horizontal="general" vertical="bottom" textRotation="0" wrapText="false" indent="0" shrinkToFit="false"/>
      <protection locked="true" hidden="false"/>
    </xf>
    <xf numFmtId="167" fontId="16" fillId="0" borderId="0" xfId="0" applyFont="true" applyBorder="false" applyAlignment="false" applyProtection="false">
      <alignment horizontal="general" vertical="bottom" textRotation="0" wrapText="false" indent="0" shrinkToFit="false"/>
      <protection locked="true" hidden="false"/>
    </xf>
    <xf numFmtId="174" fontId="11" fillId="3" borderId="0" xfId="0" applyFont="true" applyBorder="false" applyAlignment="false" applyProtection="false">
      <alignment horizontal="general" vertical="bottom" textRotation="0" wrapText="false" indent="0" shrinkToFit="false"/>
      <protection locked="true" hidden="false"/>
    </xf>
    <xf numFmtId="169" fontId="11" fillId="3" borderId="0" xfId="0" applyFont="true" applyBorder="false" applyAlignment="false" applyProtection="false">
      <alignment horizontal="general" vertical="bottom" textRotation="0" wrapText="false" indent="0" shrinkToFit="false"/>
      <protection locked="true" hidden="false"/>
    </xf>
    <xf numFmtId="176" fontId="1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76" fontId="11" fillId="3" borderId="0" xfId="0" applyFont="true" applyBorder="false" applyAlignment="false" applyProtection="false">
      <alignment horizontal="general" vertical="bottom" textRotation="0" wrapText="false" indent="0" shrinkToFit="false"/>
      <protection locked="true" hidden="false"/>
    </xf>
    <xf numFmtId="171" fontId="11" fillId="3" borderId="0" xfId="0" applyFont="true" applyBorder="false" applyAlignment="false" applyProtection="false">
      <alignment horizontal="general" vertical="bottom" textRotation="0" wrapText="false" indent="0" shrinkToFit="false"/>
      <protection locked="true" hidden="false"/>
    </xf>
    <xf numFmtId="164" fontId="11" fillId="5" borderId="0" xfId="0" applyFont="true" applyBorder="false" applyAlignment="false" applyProtection="false">
      <alignment horizontal="general" vertical="bottom" textRotation="0" wrapText="false" indent="0" shrinkToFit="false"/>
      <protection locked="true" hidden="false"/>
    </xf>
    <xf numFmtId="170" fontId="11" fillId="5" borderId="0" xfId="0" applyFont="true" applyBorder="false" applyAlignment="false" applyProtection="false">
      <alignment horizontal="general" vertical="bottom" textRotation="0" wrapText="false" indent="0" shrinkToFit="false"/>
      <protection locked="true" hidden="false"/>
    </xf>
    <xf numFmtId="172" fontId="11" fillId="0" borderId="0" xfId="0" applyFont="true" applyBorder="false" applyAlignment="false" applyProtection="false">
      <alignment horizontal="general" vertical="bottom" textRotation="0" wrapText="false" indent="0" shrinkToFit="false"/>
      <protection locked="true" hidden="false"/>
    </xf>
    <xf numFmtId="172" fontId="6"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true" applyAlignment="false" applyProtection="false">
      <alignment horizontal="general" vertical="bottom" textRotation="0" wrapText="false" indent="0" shrinkToFit="false"/>
      <protection locked="true" hidden="false"/>
    </xf>
    <xf numFmtId="170" fontId="16" fillId="0" borderId="0" xfId="0" applyFont="true" applyBorder="false" applyAlignment="false" applyProtection="false">
      <alignment horizontal="general" vertical="bottom" textRotation="0" wrapText="false" indent="0" shrinkToFit="false"/>
      <protection locked="true" hidden="false"/>
    </xf>
    <xf numFmtId="166" fontId="16"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true" applyProtection="false">
      <alignment horizontal="center" vertical="center" textRotation="0" wrapText="true" indent="0" shrinkToFit="false"/>
      <protection locked="true" hidden="false"/>
    </xf>
    <xf numFmtId="164" fontId="9" fillId="0" borderId="0" xfId="0" applyFont="true" applyBorder="false" applyAlignment="true" applyProtection="false">
      <alignment horizontal="center" vertical="center" textRotation="0" wrapText="tru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1" fillId="0" borderId="0" xfId="0" applyFont="true" applyBorder="fals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4F81BD"/>
      <rgbColor rgb="FF93A9CE"/>
      <rgbColor rgb="FFAB4744"/>
      <rgbColor rgb="FFFFF2CC"/>
      <rgbColor rgb="FFD9E1F2"/>
      <rgbColor rgb="FF660066"/>
      <rgbColor rgb="FFDC853E"/>
      <rgbColor rgb="FF0563C1"/>
      <rgbColor rgb="FFD9D9D9"/>
      <rgbColor rgb="FF000080"/>
      <rgbColor rgb="FFFF00FF"/>
      <rgbColor rgb="FFFFFF00"/>
      <rgbColor rgb="FF00FFFF"/>
      <rgbColor rgb="FF800080"/>
      <rgbColor rgb="FF800000"/>
      <rgbColor rgb="FF008080"/>
      <rgbColor rgb="FF0000FF"/>
      <rgbColor rgb="FF00CCFF"/>
      <rgbColor rgb="FFCCFFFF"/>
      <rgbColor rgb="FFE2EFDA"/>
      <rgbColor rgb="FFFFFF99"/>
      <rgbColor rgb="FFB8CD97"/>
      <rgbColor rgb="FFD09493"/>
      <rgbColor rgb="FFCC99FF"/>
      <rgbColor rgb="FFFFCC99"/>
      <rgbColor rgb="FF4672A8"/>
      <rgbColor rgb="FF33CCCC"/>
      <rgbColor rgb="FF99CC00"/>
      <rgbColor rgb="FFFFC000"/>
      <rgbColor rgb="FFFF9900"/>
      <rgbColor rgb="FFFF6600"/>
      <rgbColor rgb="FF725990"/>
      <rgbColor rgb="FF8AA64F"/>
      <rgbColor rgb="FF1F3864"/>
      <rgbColor rgb="FF4299B0"/>
      <rgbColor rgb="FF003300"/>
      <rgbColor rgb="FF333300"/>
      <rgbColor rgb="FF993300"/>
      <rgbColor rgb="FF993366"/>
      <rgbColor rgb="FF333399"/>
      <rgbColor rgb="FF595959"/>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2025 world steel demand by end-use industry</a:t>
            </a:r>
          </a:p>
        </c:rich>
      </c:tx>
      <c:overlay val="0"/>
      <c:spPr>
        <a:noFill/>
        <a:ln w="0">
          <a:noFill/>
        </a:ln>
      </c:spPr>
    </c:title>
    <c:autoTitleDeleted val="0"/>
    <c:plotArea>
      <c:pieChart>
        <c:varyColors val="1"/>
        <c:ser>
          <c:idx val="0"/>
          <c:order val="0"/>
          <c:tx>
            <c:strRef>
              <c:f>Summary!C5</c:f>
              <c:strCache>
                <c:ptCount val="1"/>
                <c:pt idx="0">
                  <c:v>2025 demand (Mt)</c:v>
                </c:pt>
              </c:strCache>
            </c:strRef>
          </c:tx>
          <c:spPr>
            <a:solidFill>
              <a:srgbClr val="4f81bd"/>
            </a:solidFill>
            <a:ln w="0">
              <a:noFill/>
            </a:ln>
          </c:spPr>
          <c:explosion val="0"/>
          <c:dPt>
            <c:idx val="0"/>
            <c:spPr>
              <a:solidFill>
                <a:srgbClr val="4672a8"/>
              </a:solidFill>
              <a:ln w="0">
                <a:noFill/>
              </a:ln>
            </c:spPr>
          </c:dPt>
          <c:dPt>
            <c:idx val="1"/>
            <c:spPr>
              <a:solidFill>
                <a:srgbClr val="ab4744"/>
              </a:solidFill>
              <a:ln w="0">
                <a:noFill/>
              </a:ln>
            </c:spPr>
          </c:dPt>
          <c:dPt>
            <c:idx val="2"/>
            <c:spPr>
              <a:solidFill>
                <a:srgbClr val="8aa64f"/>
              </a:solidFill>
              <a:ln w="0">
                <a:noFill/>
              </a:ln>
            </c:spPr>
          </c:dPt>
          <c:dPt>
            <c:idx val="3"/>
            <c:spPr>
              <a:solidFill>
                <a:srgbClr val="725990"/>
              </a:solidFill>
              <a:ln w="0">
                <a:noFill/>
              </a:ln>
            </c:spPr>
          </c:dPt>
          <c:dPt>
            <c:idx val="4"/>
            <c:spPr>
              <a:solidFill>
                <a:srgbClr val="4299b0"/>
              </a:solidFill>
              <a:ln w="0">
                <a:noFill/>
              </a:ln>
            </c:spPr>
          </c:dPt>
          <c:dPt>
            <c:idx val="5"/>
            <c:spPr>
              <a:solidFill>
                <a:srgbClr val="dc853e"/>
              </a:solidFill>
              <a:ln w="0">
                <a:noFill/>
              </a:ln>
            </c:spPr>
          </c:dPt>
          <c:dPt>
            <c:idx val="6"/>
            <c:spPr>
              <a:solidFill>
                <a:srgbClr val="93a9ce"/>
              </a:solidFill>
              <a:ln w="0">
                <a:noFill/>
              </a:ln>
            </c:spPr>
          </c:dPt>
          <c:dPt>
            <c:idx val="7"/>
            <c:spPr>
              <a:solidFill>
                <a:srgbClr val="d09493"/>
              </a:solidFill>
              <a:ln w="0">
                <a:noFill/>
              </a:ln>
            </c:spPr>
          </c:dPt>
          <c:dPt>
            <c:idx val="8"/>
            <c:spPr>
              <a:solidFill>
                <a:srgbClr val="b8cd97"/>
              </a:solidFill>
              <a:ln w="0">
                <a:noFill/>
              </a:ln>
            </c:spPr>
          </c:dPt>
          <c:dLbls>
            <c:dLbl>
              <c:idx val="0"/>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dLbl>
              <c:idx val="1"/>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dLbl>
              <c:idx val="2"/>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dLbl>
              <c:idx val="3"/>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dLbl>
              <c:idx val="4"/>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dLbl>
              <c:idx val="5"/>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dLbl>
              <c:idx val="6"/>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dLbl>
              <c:idx val="7"/>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dLbl>
              <c:idx val="8"/>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dLbl>
            <c:txPr>
              <a:bodyPr wrap="square"/>
              <a:lstStyle/>
              <a:p>
                <a:pPr>
                  <a:defRPr b="0" sz="1000" spc="-1" strike="noStrike">
                    <a:solidFill>
                      <a:srgbClr val="000000"/>
                    </a:solidFill>
                    <a:latin typeface="Calibri"/>
                  </a:defRPr>
                </a:pPr>
              </a:p>
            </c:txPr>
            <c:dLblPos val="bestFit"/>
            <c:showLegendKey val="1"/>
            <c:showVal val="0"/>
            <c:showCatName val="1"/>
            <c:showSerName val="0"/>
            <c:showPercent val="1"/>
            <c:separator>
</c:separator>
            <c:showLeaderLines val="1"/>
          </c:dLbls>
          <c:cat>
            <c:strRef>
              <c:f>Summary!$B$6:$B$14</c:f>
              <c:strCache>
                <c:ptCount val="9"/>
                <c:pt idx="0">
                  <c:v>Construction</c:v>
                </c:pt>
                <c:pt idx="1">
                  <c:v>Mechanical engineering</c:v>
                </c:pt>
                <c:pt idx="2">
                  <c:v>Automotive</c:v>
                </c:pt>
                <c:pt idx="3">
                  <c:v>Other transport</c:v>
                </c:pt>
                <c:pt idx="4">
                  <c:v>Domestic appliances</c:v>
                </c:pt>
                <c:pt idx="5">
                  <c:v>Metal products</c:v>
                </c:pt>
                <c:pt idx="6">
                  <c:v>Oil and gas</c:v>
                </c:pt>
                <c:pt idx="7">
                  <c:v>Defence</c:v>
                </c:pt>
                <c:pt idx="8">
                  <c:v>Miscellaneous</c:v>
                </c:pt>
              </c:strCache>
            </c:strRef>
          </c:cat>
          <c:val>
            <c:numRef>
              <c:f>Summary!$C$6:$C$14</c:f>
              <c:numCache>
                <c:formatCode>#,##0</c:formatCode>
                <c:ptCount val="9"/>
                <c:pt idx="0">
                  <c:v>842</c:v>
                </c:pt>
                <c:pt idx="1">
                  <c:v>279</c:v>
                </c:pt>
                <c:pt idx="2">
                  <c:v>128</c:v>
                </c:pt>
                <c:pt idx="3">
                  <c:v>60</c:v>
                </c:pt>
                <c:pt idx="4">
                  <c:v>59</c:v>
                </c:pt>
                <c:pt idx="5">
                  <c:v>196</c:v>
                </c:pt>
                <c:pt idx="6">
                  <c:v>108</c:v>
                </c:pt>
                <c:pt idx="7">
                  <c:v>13</c:v>
                </c:pt>
                <c:pt idx="8">
                  <c:v>33</c:v>
                </c:pt>
              </c:numCache>
            </c:numRef>
          </c:val>
        </c:ser>
        <c:firstSliceAng val="0"/>
      </c:pieChart>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11</xdr:col>
      <xdr:colOff>0</xdr:colOff>
      <xdr:row>4</xdr:row>
      <xdr:rowOff>0</xdr:rowOff>
    </xdr:from>
    <xdr:to>
      <xdr:col>19</xdr:col>
      <xdr:colOff>507600</xdr:colOff>
      <xdr:row>22</xdr:row>
      <xdr:rowOff>130680</xdr:rowOff>
    </xdr:to>
    <xdr:graphicFrame>
      <xdr:nvGraphicFramePr>
        <xdr:cNvPr id="0" name="Chart 1"/>
        <xdr:cNvGraphicFramePr/>
      </xdr:nvGraphicFramePr>
      <xdr:xfrm>
        <a:off x="9704160" y="1057320"/>
        <a:ext cx="5399640" cy="395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Relationship Id="rId5"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resources/market-data/steel-end-use.html" TargetMode="External"/><Relationship Id="rId4" Type="http://schemas.openxmlformats.org/officeDocument/2006/relationships/hyperlink" Target="https://www.steelonthenet.com/legal.html" TargetMode="External"/>
</Relationships>
</file>

<file path=xl/worksheets/_rels/sheet3.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hyperlink" Target="https://www.steelonthenet.com/resources/market-data/steel-end-use.html" TargetMode="External"/><Relationship Id="rId3" Type="http://schemas.openxmlformats.org/officeDocument/2006/relationships/hyperlink" Target="https://www.steelonthenet.com/resources/market-data/consumption.html" TargetMode="External"/><Relationship Id="rId4" Type="http://schemas.openxmlformats.org/officeDocument/2006/relationships/hyperlink" Target="https://www.steelonthenet.com/legal.html" TargetMode="External"/><Relationship Id="rId5" Type="http://schemas.openxmlformats.org/officeDocument/2006/relationships/hyperlink" Target="https://www.steelonthenet.com/resources/market-data/steel-end-use.html" TargetMode="External"/><Relationship Id="rId6" Type="http://schemas.openxmlformats.org/officeDocument/2006/relationships/vmlDrawing" Target="../drawings/vmlDrawing1.vml"/>
</Relationships>
</file>

<file path=xl/worksheets/_rels/sheet5.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
</Relationships>
</file>

<file path=xl/worksheets/_rels/sheet6.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
</Relationships>
</file>

<file path=xl/worksheets/_rels/sheet7.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
</Relationships>
</file>

<file path=xl/worksheets/_rels/sheet8.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
</Relationships>
</file>

<file path=xl/worksheets/_rels/sheet9.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
</Relationships>
</file>

<file path=xl/worksheets/_rels/sheet10.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
</Relationships>
</file>

<file path=xl/worksheets/_rels/sheet11.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legal.html" TargetMode="External"/><Relationship Id="rId4" Type="http://schemas.openxmlformats.org/officeDocument/2006/relationships/hyperlink" Target="https://www.steelonthenet.com/resources/market-data/steel-end-use.html" TargetMode="External"/><Relationship Id="rId5" Type="http://schemas.openxmlformats.org/officeDocument/2006/relationships/hyperlink" Target="https://worldsteel.org/wp-content/uploads/World-Steel-in-Figures-2026.pdf" TargetMode="External"/><Relationship Id="rId6" Type="http://schemas.openxmlformats.org/officeDocument/2006/relationships/hyperlink" Target="https://worldsteel.org/media/press-releases/2026/worldsteel-short-range-outlook-april-2026/" TargetMode="External"/><Relationship Id="rId7" Type="http://schemas.openxmlformats.org/officeDocument/2006/relationships/hyperlink" Target="https://www.steelorbis.com/steel-news/latest-news/oecd-global-steel-trade-shifts-as-chinas-exports-hit-record-high-despite-weak-world-trade-1457083.htm" TargetMode="External"/><Relationship Id="rId8" Type="http://schemas.openxmlformats.org/officeDocument/2006/relationships/hyperlink" Target="https://oica.net/auto-industry-growth-shifted-east-in-2025-amid-global-repositioning/" TargetMode="External"/><Relationship Id="rId9" Type="http://schemas.openxmlformats.org/officeDocument/2006/relationships/hyperlink" Target="https://mezha.ua/en/news/globalniy-avtoprom-u-2025-roci-zris-na-4-kitay-lidiruye-309728/" TargetMode="External"/><Relationship Id="rId10" Type="http://schemas.openxmlformats.org/officeDocument/2006/relationships/hyperlink" Target="https://worldsteel.org/wp-content/uploads/Fact-sheet-Advanced-steel-applications.pdf" TargetMode="External"/><Relationship Id="rId11" Type="http://schemas.openxmlformats.org/officeDocument/2006/relationships/hyperlink" Target="https://www.itiger.com/hant/news/1149322097" TargetMode="External"/><Relationship Id="rId12" Type="http://schemas.openxmlformats.org/officeDocument/2006/relationships/hyperlink" Target="https://www.steelorbis.com/steel-news/latest-news/china-claims-59-of-new-shipbuilding-orders-globally-in-jan-nov-2025-1426401.htm" TargetMode="External"/><Relationship Id="rId13" Type="http://schemas.openxmlformats.org/officeDocument/2006/relationships/hyperlink" Target="https://www.giiresearch.com/report/eo1990821-world-market-major-appliances.html" TargetMode="External"/><Relationship Id="rId14" Type="http://schemas.openxmlformats.org/officeDocument/2006/relationships/hyperlink" Target="https://www.arizton.com/market-reports/hvac-market" TargetMode="External"/><Relationship Id="rId15" Type="http://schemas.openxmlformats.org/officeDocument/2006/relationships/hyperlink" Target="https://theloadstar.com/container-production-in-china-to-fall-as-supply-demand-rebalances/" TargetMode="External"/><Relationship Id="rId16" Type="http://schemas.openxmlformats.org/officeDocument/2006/relationships/hyperlink" Target="https://wirenet.org/?p=17053" TargetMode="External"/><Relationship Id="rId17" Type="http://schemas.openxmlformats.org/officeDocument/2006/relationships/hyperlink" Target="https://www.sipri.org/sites/default/files/Military%20Expenditure%202025.pdf" TargetMode="External"/><Relationship Id="rId18" Type="http://schemas.openxmlformats.org/officeDocument/2006/relationships/hyperlink" Target="https://statista.com/statistics/1107721/steel-usage-global-segment" TargetMode="External"/><Relationship Id="rId19" Type="http://schemas.openxmlformats.org/officeDocument/2006/relationships/hyperlink" Target="https://marketpublishers.com/report/ferrous_metallurgy/steel-products/global-steel-sheet-pile-gir.html" TargetMode="External"/><Relationship Id="rId20" Type="http://schemas.openxmlformats.org/officeDocument/2006/relationships/hyperlink" Target="https://azteccontainer.com/?p=249966" TargetMode="External"/><Relationship Id="rId21" Type="http://schemas.openxmlformats.org/officeDocument/2006/relationships/hyperlink" Target="https://faxiangongchang.com/en/reports/china-fastener-industry-2026-market-report" TargetMode="External"/><Relationship Id="rId22" Type="http://schemas.openxmlformats.org/officeDocument/2006/relationships/hyperlink" Target="https://global.chinadaily.com.cn/a/202602/04/WS69827f28a310d6866eb374b1.html" TargetMode="External"/><Relationship Id="rId23" Type="http://schemas.openxmlformats.org/officeDocument/2006/relationships/hyperlink" Target="https://www.sunsirs.com/commodity-news/petail-33310.html" TargetMode="External"/><Relationship Id="rId24" Type="http://schemas.openxmlformats.org/officeDocument/2006/relationships/hyperlink" Target="https://www.steelorbis.com/steel-news/latest-news/chinas-steel-demand-to-drop-slightly-in-2026-as-construction-slump-may-neutralize-gains-from-manufacturing-1467349.htm" TargetMode="External"/><Relationship Id="rId25" Type="http://schemas.openxmlformats.org/officeDocument/2006/relationships/hyperlink" Target="https://www.steelorbis.com/steel-news/latest-news/mpi-decrease-in-steel-demand-in-china-to-slow-down-in-2025-amid-growth-in-4-major-industries-1372204.htm" TargetMode="External"/><Relationship Id="rId26" Type="http://schemas.openxmlformats.org/officeDocument/2006/relationships/hyperlink" Target="https://www.seaisi.org/details/25925?type=news-rooms" TargetMode="External"/><Relationship Id="rId27" Type="http://schemas.openxmlformats.org/officeDocument/2006/relationships/hyperlink" Target="https://www.idom.com/wp-content/uploads/2026/06/Steel-and-Automotive-Industry-Strategic-Opportunities-in-a-Transforming-Ecosystem-Vfinal.pdf" TargetMode="External"/><Relationship Id="rId28" Type="http://schemas.openxmlformats.org/officeDocument/2006/relationships/hyperlink" Target="https://www.multibagg.ai/market-pulse/articles/ipo/india-steel-consumption-global-decline-rhp-cmvt4sm8n000u23pnk7gyhbmc" TargetMode="External"/><Relationship Id="rId29" Type="http://schemas.openxmlformats.org/officeDocument/2006/relationships/hyperlink" Target="https://gmk.center/en/news/apparent-steel-consumption-in-the-eu-is-set-to-rise-by-4-4-y-y-in-2025-eurofer/" TargetMode="External"/><Relationship Id="rId30" Type="http://schemas.openxmlformats.org/officeDocument/2006/relationships/hyperlink" Target="https://pubs.usgs.gov/periodicals/mcs2026/mcs2026-iron-steel.pdf" TargetMode="External"/><Relationship Id="rId31" Type="http://schemas.openxmlformats.org/officeDocument/2006/relationships/hyperlink" Target="https://www.kenresearch.com/global-oil-country-tubular-goods-octg-market" TargetMode="External"/><Relationship Id="rId32" Type="http://schemas.openxmlformats.org/officeDocument/2006/relationships/hyperlink" Target="https://www.hydrocarbonengineering.com/gas-processing/03022010/tube_2010_report" TargetMode="External"/><Relationship Id="rId33" Type="http://schemas.openxmlformats.org/officeDocument/2006/relationships/hyperlink" Target="https://www.steelorbis.com/steel-news/latest-news/chinas-rebar-output-up-03-percent-in-january-august-2025-1410478.htm" TargetMode="External"/><Relationship Id="rId34" Type="http://schemas.openxmlformats.org/officeDocument/2006/relationships/hyperlink" Target="https://eurometal.net/defence-spending-not-seen-notably-spurring-eu-plate/" TargetMode="External"/><Relationship Id="rId35" Type="http://schemas.openxmlformats.org/officeDocument/2006/relationships/hyperlink" Target="https://www.globalmilitary.net/news/largest-main-battle-tank-fleets-ranked-2026/" TargetMode="External"/><Relationship Id="rId36" Type="http://schemas.openxmlformats.org/officeDocument/2006/relationships/hyperlink" Target="https://www.globalfirepower.com/aircraft-total.php" TargetMode="External"/><Relationship Id="rId37" Type="http://schemas.openxmlformats.org/officeDocument/2006/relationships/hyperlink" Target="https://defensenews.com/naval/2026/10/20/china-built-more-than-twice-naval-tonnage-of-us-in-2024-25-euronaval/" TargetMode="External"/><Relationship Id="rId38" Type="http://schemas.openxmlformats.org/officeDocument/2006/relationships/hyperlink" Target="https://www.euronews.com/2025/07/16/is-russia-producing-a-years-worth-of-nato-ammunition-in-three-months" TargetMode="External"/><Relationship Id="rId39" Type="http://schemas.openxmlformats.org/officeDocument/2006/relationships/hyperlink" Target="https://www.gd-ots.com/wp-content/uploads/2017/11/155mm-M107-HE_US.pdf" TargetMode="External"/><Relationship Id="rId40" Type="http://schemas.openxmlformats.org/officeDocument/2006/relationships/hyperlink" Target="https://global.espreso.tv/russias-armored-vehicle-production-at-its-peak-nato-says" TargetMode="External"/><Relationship Id="rId41" Type="http://schemas.openxmlformats.org/officeDocument/2006/relationships/hyperlink" Target="https://www.steelonthenet.com/commerce/about/jfk.html" TargetMode="External"/><Relationship Id="rId42" Type="http://schemas.openxmlformats.org/officeDocument/2006/relationships/hyperlink" Target="https://www.steelonthenet.com/" TargetMode="External"/><Relationship Id="rId43" Type="http://schemas.openxmlformats.org/officeDocument/2006/relationships/hyperlink" Target="https://www.autosteel.org/" TargetMode="External"/><Relationship Id="rId44" Type="http://schemas.openxmlformats.org/officeDocument/2006/relationships/hyperlink" Target="https://www.steelonthenet.com/resources/market-data/consumption.html" TargetMode="External"/><Relationship Id="rId45" Type="http://schemas.openxmlformats.org/officeDocument/2006/relationships/hyperlink" Target="https://www.steelonthenet.com/files/automotive.html" TargetMode="External"/><Relationship Id="rId46" Type="http://schemas.openxmlformats.org/officeDocument/2006/relationships/hyperlink" Target="https://www.steelonthenet.com/resources/market-data/steel-end-use.html" TargetMode="External"/>
</Relationships>
</file>

<file path=xl/worksheets/_rels/sheet12.xml.rels><?xml version="1.0" encoding="UTF-8"?>
<Relationships xmlns="http://schemas.openxmlformats.org/package/2006/relationships"><Relationship Id="rId1" Type="http://schemas.openxmlformats.org/officeDocument/2006/relationships/hyperlink" Target="https://www.steelonthenet.com/resources/market-data/steel-end-use.html" TargetMode="External"/><Relationship Id="rId2" Type="http://schemas.openxmlformats.org/officeDocument/2006/relationships/hyperlink" Target="https://www.steelonthenet.com/resources/market-data/consumption.html" TargetMode="External"/><Relationship Id="rId3" Type="http://schemas.openxmlformats.org/officeDocument/2006/relationships/hyperlink" Target="https://www.steelonthenet.com/resources/market-data/steel-end-use.html"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3864"/>
    <pageSetUpPr fitToPage="true"/>
  </sheetPr>
  <dimension ref="B1:J4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36"/>
    <col collapsed="false" customWidth="true" hidden="false" outlineLevel="0" max="3" min="3" style="0" width="14"/>
    <col collapsed="false" customWidth="true" hidden="false" outlineLevel="0" max="4" min="4" style="0" width="13"/>
    <col collapsed="false" customWidth="true" hidden="false" outlineLevel="0" max="5" min="5" style="0" width="15"/>
    <col collapsed="false" customWidth="true" hidden="false" outlineLevel="0" max="6" min="6" style="0" width="3"/>
    <col collapsed="false" customWidth="true" hidden="false" outlineLevel="0" max="8" min="7" style="0" width="9"/>
    <col collapsed="false" customWidth="true" hidden="false" outlineLevel="0" max="9" min="9" style="0" width="15"/>
    <col collapsed="false" customWidth="true" hidden="false" outlineLevel="0" max="10" min="10" style="0" width="13"/>
  </cols>
  <sheetData>
    <row r="1" customFormat="false" ht="20.25" hidden="false" customHeight="true" outlineLevel="0" collapsed="false">
      <c r="B1" s="1" t="s">
        <v>0</v>
      </c>
      <c r="I1" s="2" t="s">
        <v>1</v>
      </c>
      <c r="J1" s="2" t="s">
        <v>2</v>
      </c>
    </row>
    <row r="2" customFormat="false" ht="16.5" hidden="false" customHeight="true" outlineLevel="0" collapsed="false">
      <c r="B2" s="3" t="s">
        <v>3</v>
      </c>
    </row>
    <row r="3" customFormat="false" ht="31.5" hidden="false" customHeight="true" outlineLevel="0" collapsed="false">
      <c r="B3" s="4" t="s">
        <v>4</v>
      </c>
      <c r="C3" s="4"/>
      <c r="D3" s="4"/>
      <c r="E3" s="4"/>
      <c r="F3" s="4"/>
      <c r="G3" s="4"/>
      <c r="H3" s="4"/>
      <c r="I3" s="4"/>
      <c r="J3" s="4"/>
    </row>
    <row r="5" customFormat="false" ht="36" hidden="false" customHeight="true" outlineLevel="0" collapsed="false">
      <c r="B5" s="5" t="s">
        <v>5</v>
      </c>
      <c r="C5" s="5" t="s">
        <v>6</v>
      </c>
      <c r="D5" s="5" t="s">
        <v>7</v>
      </c>
      <c r="E5" s="5" t="s">
        <v>8</v>
      </c>
      <c r="G5" s="6" t="s">
        <v>9</v>
      </c>
      <c r="H5" s="6" t="s">
        <v>10</v>
      </c>
      <c r="I5" s="6" t="s">
        <v>11</v>
      </c>
      <c r="J5" s="6" t="s">
        <v>12</v>
      </c>
    </row>
    <row r="6" customFormat="false" ht="15" hidden="false" customHeight="false" outlineLevel="0" collapsed="false">
      <c r="B6" s="7" t="s">
        <v>13</v>
      </c>
      <c r="C6" s="8" t="n">
        <f aca="false">I6+IF(RANK(J6,$J$6:$J$14)&lt;=ROUND(Inputs!$D$6,0)-SUM($I$6:$I$14),1,0)</f>
        <v>842</v>
      </c>
      <c r="D6" s="9" t="n">
        <f aca="false">C6/$C$15</f>
        <v>0.490104772991851</v>
      </c>
      <c r="E6" s="10" t="n">
        <f aca="false">(G6+IF(RANK(H6,$H$6:$H$14)&lt;=100-SUM($G$6:$G$14),1,0))/100</f>
        <v>0.49</v>
      </c>
      <c r="G6" s="11" t="n">
        <f aca="false">INT(D6*100)</f>
        <v>49</v>
      </c>
      <c r="H6" s="12" t="n">
        <f aca="false">D6*100-G6</f>
        <v>0.0104772991850979</v>
      </c>
      <c r="I6" s="11" t="n">
        <f aca="false">INT('End-use matrix'!N35)</f>
        <v>842</v>
      </c>
      <c r="J6" s="12" t="n">
        <f aca="false">'End-use matrix'!N35-I6</f>
        <v>0.0415397453659807</v>
      </c>
    </row>
    <row r="7" customFormat="false" ht="15" hidden="false" customHeight="false" outlineLevel="0" collapsed="false">
      <c r="B7" s="7" t="s">
        <v>14</v>
      </c>
      <c r="C7" s="8" t="n">
        <f aca="false">I7+IF(RANK(J7,$J$6:$J$14)&lt;=ROUND(Inputs!$D$6,0)-SUM($I$6:$I$14),1,0)</f>
        <v>279</v>
      </c>
      <c r="D7" s="9" t="n">
        <f aca="false">C7/$C$15</f>
        <v>0.162398137369034</v>
      </c>
      <c r="E7" s="10" t="n">
        <f aca="false">(G7+IF(RANK(H7,$H$6:$H$14)&lt;=100-SUM($G$6:$G$14),1,0))/100</f>
        <v>0.16</v>
      </c>
      <c r="G7" s="11" t="n">
        <f aca="false">INT(D7*100)</f>
        <v>16</v>
      </c>
      <c r="H7" s="12" t="n">
        <f aca="false">D7*100-G7</f>
        <v>0.239813736903379</v>
      </c>
      <c r="I7" s="11" t="n">
        <f aca="false">INT('End-use matrix'!N36)</f>
        <v>278</v>
      </c>
      <c r="J7" s="12" t="n">
        <f aca="false">'End-use matrix'!N36-I7</f>
        <v>0.994921967200128</v>
      </c>
    </row>
    <row r="8" customFormat="false" ht="15" hidden="false" customHeight="false" outlineLevel="0" collapsed="false">
      <c r="B8" s="7" t="s">
        <v>15</v>
      </c>
      <c r="C8" s="8" t="n">
        <f aca="false">I8+IF(RANK(J8,$J$6:$J$14)&lt;=ROUND(Inputs!$D$6,0)-SUM($I$6:$I$14),1,0)</f>
        <v>128</v>
      </c>
      <c r="D8" s="9" t="n">
        <f aca="false">C8/$C$15</f>
        <v>0.0745052386495926</v>
      </c>
      <c r="E8" s="10" t="n">
        <f aca="false">(G8+IF(RANK(H8,$H$6:$H$14)&lt;=100-SUM($G$6:$G$14),1,0))/100</f>
        <v>0.08</v>
      </c>
      <c r="G8" s="11" t="n">
        <f aca="false">INT(D8*100)</f>
        <v>7</v>
      </c>
      <c r="H8" s="12" t="n">
        <f aca="false">D8*100-G8</f>
        <v>0.450523864959255</v>
      </c>
      <c r="I8" s="11" t="n">
        <f aca="false">INT('End-use matrix'!N37)</f>
        <v>127</v>
      </c>
      <c r="J8" s="12" t="n">
        <f aca="false">'End-use matrix'!N37-I8</f>
        <v>0.960787499999995</v>
      </c>
    </row>
    <row r="9" customFormat="false" ht="15" hidden="false" customHeight="false" outlineLevel="0" collapsed="false">
      <c r="B9" s="7" t="s">
        <v>16</v>
      </c>
      <c r="C9" s="8" t="n">
        <f aca="false">I9+IF(RANK(J9,$J$6:$J$14)&lt;=ROUND(Inputs!$D$6,0)-SUM($I$6:$I$14),1,0)</f>
        <v>60</v>
      </c>
      <c r="D9" s="9" t="n">
        <f aca="false">C9/$C$15</f>
        <v>0.0349243306169965</v>
      </c>
      <c r="E9" s="10" t="n">
        <f aca="false">(G9+IF(RANK(H9,$H$6:$H$14)&lt;=100-SUM($G$6:$G$14),1,0))/100</f>
        <v>0.04</v>
      </c>
      <c r="G9" s="11" t="n">
        <f aca="false">INT(D9*100)</f>
        <v>3</v>
      </c>
      <c r="H9" s="12" t="n">
        <f aca="false">D9*100-G9</f>
        <v>0.49243306169965</v>
      </c>
      <c r="I9" s="11" t="n">
        <f aca="false">INT('End-use matrix'!N38)</f>
        <v>60</v>
      </c>
      <c r="J9" s="12" t="n">
        <f aca="false">'End-use matrix'!N38-I9</f>
        <v>0.0241688089441681</v>
      </c>
    </row>
    <row r="10" customFormat="false" ht="15" hidden="false" customHeight="false" outlineLevel="0" collapsed="false">
      <c r="B10" s="7" t="s">
        <v>17</v>
      </c>
      <c r="C10" s="8" t="n">
        <f aca="false">I10+IF(RANK(J10,$J$6:$J$14)&lt;=ROUND(Inputs!$D$6,0)-SUM($I$6:$I$14),1,0)</f>
        <v>59</v>
      </c>
      <c r="D10" s="9" t="n">
        <f aca="false">C10/$C$15</f>
        <v>0.0343422584400466</v>
      </c>
      <c r="E10" s="10" t="n">
        <f aca="false">(G10+IF(RANK(H10,$H$6:$H$14)&lt;=100-SUM($G$6:$G$14),1,0))/100</f>
        <v>0.03</v>
      </c>
      <c r="G10" s="11" t="n">
        <f aca="false">INT(D10*100)</f>
        <v>3</v>
      </c>
      <c r="H10" s="12" t="n">
        <f aca="false">D10*100-G10</f>
        <v>0.434225844004657</v>
      </c>
      <c r="I10" s="11" t="n">
        <f aca="false">INT('End-use matrix'!N39)</f>
        <v>58</v>
      </c>
      <c r="J10" s="12" t="n">
        <f aca="false">'End-use matrix'!N39-I10</f>
        <v>0.805760000000007</v>
      </c>
    </row>
    <row r="11" customFormat="false" ht="15" hidden="false" customHeight="false" outlineLevel="0" collapsed="false">
      <c r="B11" s="7" t="s">
        <v>18</v>
      </c>
      <c r="C11" s="8" t="n">
        <f aca="false">I11+IF(RANK(J11,$J$6:$J$14)&lt;=ROUND(Inputs!$D$6,0)-SUM($I$6:$I$14),1,0)</f>
        <v>196</v>
      </c>
      <c r="D11" s="9" t="n">
        <f aca="false">C11/$C$15</f>
        <v>0.114086146682189</v>
      </c>
      <c r="E11" s="10" t="n">
        <f aca="false">(G11+IF(RANK(H11,$H$6:$H$14)&lt;=100-SUM($G$6:$G$14),1,0))/100</f>
        <v>0.11</v>
      </c>
      <c r="G11" s="11" t="n">
        <f aca="false">INT(D11*100)</f>
        <v>11</v>
      </c>
      <c r="H11" s="12" t="n">
        <f aca="false">D11*100-G11</f>
        <v>0.40861466821886</v>
      </c>
      <c r="I11" s="11" t="n">
        <f aca="false">INT('End-use matrix'!N40)</f>
        <v>196</v>
      </c>
      <c r="J11" s="12" t="n">
        <f aca="false">'End-use matrix'!N40-I11</f>
        <v>0.379739482389397</v>
      </c>
    </row>
    <row r="12" customFormat="false" ht="15" hidden="false" customHeight="false" outlineLevel="0" collapsed="false">
      <c r="B12" s="7" t="s">
        <v>19</v>
      </c>
      <c r="C12" s="8" t="n">
        <f aca="false">I12+IF(RANK(J12,$J$6:$J$14)&lt;=ROUND(Inputs!$D$6,0)-SUM($I$6:$I$14),1,0)</f>
        <v>108</v>
      </c>
      <c r="D12" s="9" t="n">
        <f aca="false">C12/$C$15</f>
        <v>0.0628637951105937</v>
      </c>
      <c r="E12" s="10" t="n">
        <f aca="false">(G12+IF(RANK(H12,$H$6:$H$14)&lt;=100-SUM($G$6:$G$14),1,0))/100</f>
        <v>0.06</v>
      </c>
      <c r="G12" s="11" t="n">
        <f aca="false">INT(D12*100)</f>
        <v>6</v>
      </c>
      <c r="H12" s="12" t="n">
        <f aca="false">D12*100-G12</f>
        <v>0.286379511059372</v>
      </c>
      <c r="I12" s="11" t="n">
        <f aca="false">INT('End-use matrix'!N41)</f>
        <v>108</v>
      </c>
      <c r="J12" s="12" t="n">
        <f aca="false">'End-use matrix'!N41-I12</f>
        <v>0.072039271982149</v>
      </c>
    </row>
    <row r="13" customFormat="false" ht="15" hidden="false" customHeight="false" outlineLevel="0" collapsed="false">
      <c r="B13" s="7" t="s">
        <v>20</v>
      </c>
      <c r="C13" s="8" t="n">
        <f aca="false">I13+IF(RANK(J13,$J$6:$J$14)&lt;=ROUND(Inputs!$D$6,0)-SUM($I$6:$I$14),1,0)</f>
        <v>13</v>
      </c>
      <c r="D13" s="9" t="n">
        <f aca="false">C13/$C$15</f>
        <v>0.00756693830034924</v>
      </c>
      <c r="E13" s="10" t="n">
        <f aca="false">(G13+IF(RANK(H13,$H$6:$H$14)&lt;=100-SUM($G$6:$G$14),1,0))/100</f>
        <v>0.01</v>
      </c>
      <c r="G13" s="11" t="n">
        <f aca="false">INT(D13*100)</f>
        <v>0</v>
      </c>
      <c r="H13" s="12" t="n">
        <f aca="false">D13*100-G13</f>
        <v>0.756693830034924</v>
      </c>
      <c r="I13" s="11" t="n">
        <f aca="false">INT('End-use matrix'!N42)</f>
        <v>12</v>
      </c>
      <c r="J13" s="12" t="n">
        <f aca="false">'End-use matrix'!N42-I13</f>
        <v>0.416151503231207</v>
      </c>
    </row>
    <row r="14" customFormat="false" ht="15" hidden="false" customHeight="false" outlineLevel="0" collapsed="false">
      <c r="B14" s="7" t="s">
        <v>21</v>
      </c>
      <c r="C14" s="8" t="n">
        <f aca="false">I14+IF(RANK(J14,$J$6:$J$14)&lt;=ROUND(Inputs!$D$6,0)-SUM($I$6:$I$14),1,0)</f>
        <v>33</v>
      </c>
      <c r="D14" s="9" t="n">
        <f aca="false">C14/$C$15</f>
        <v>0.0192083818393481</v>
      </c>
      <c r="E14" s="10" t="n">
        <f aca="false">(G14+IF(RANK(H14,$H$6:$H$14)&lt;=100-SUM($G$6:$G$14),1,0))/100</f>
        <v>0.02</v>
      </c>
      <c r="G14" s="11" t="n">
        <f aca="false">INT(D14*100)</f>
        <v>1</v>
      </c>
      <c r="H14" s="12" t="n">
        <f aca="false">D14*100-G14</f>
        <v>0.920838183934808</v>
      </c>
      <c r="I14" s="11" t="n">
        <f aca="false">INT('End-use matrix'!N43)</f>
        <v>33</v>
      </c>
      <c r="J14" s="12" t="n">
        <f aca="false">'End-use matrix'!N43-I14</f>
        <v>0.304648702117653</v>
      </c>
    </row>
    <row r="15" customFormat="false" ht="15" hidden="false" customHeight="false" outlineLevel="0" collapsed="false">
      <c r="B15" s="13" t="s">
        <v>22</v>
      </c>
      <c r="C15" s="14" t="n">
        <f aca="false">SUM(C6:C14)</f>
        <v>1718</v>
      </c>
      <c r="D15" s="15" t="n">
        <f aca="false">SUM(D6:D14)</f>
        <v>1</v>
      </c>
      <c r="E15" s="16" t="n">
        <f aca="false">SUM(E6:E14)</f>
        <v>1</v>
      </c>
    </row>
    <row r="16" customFormat="false" ht="25.5" hidden="false" customHeight="true" outlineLevel="0" collapsed="false">
      <c r="B16" s="17" t="s">
        <v>23</v>
      </c>
      <c r="C16" s="17"/>
      <c r="D16" s="17"/>
      <c r="E16" s="17"/>
    </row>
    <row r="18" customFormat="false" ht="15" hidden="false" customHeight="false" outlineLevel="0" collapsed="false">
      <c r="B18" s="18" t="s">
        <v>24</v>
      </c>
    </row>
    <row r="19" customFormat="false" ht="15" hidden="false" customHeight="false" outlineLevel="0" collapsed="false">
      <c r="B19" s="7" t="s">
        <v>25</v>
      </c>
      <c r="C19" s="19" t="n">
        <f aca="false">Inputs!$D$6</f>
        <v>1718</v>
      </c>
    </row>
    <row r="20" customFormat="false" ht="15" hidden="false" customHeight="false" outlineLevel="0" collapsed="false">
      <c r="B20" s="7" t="s">
        <v>26</v>
      </c>
      <c r="C20" s="19" t="n">
        <f aca="false">'End-use matrix'!N44</f>
        <v>1717.99975698123</v>
      </c>
    </row>
    <row r="21" customFormat="false" ht="15" hidden="false" customHeight="false" outlineLevel="0" collapsed="false">
      <c r="B21" s="7" t="s">
        <v>27</v>
      </c>
      <c r="C21" s="20" t="n">
        <f aca="false">ROUND(C20-C19,3)</f>
        <v>-0</v>
      </c>
    </row>
    <row r="22" customFormat="false" ht="15" hidden="false" customHeight="false" outlineLevel="0" collapsed="false">
      <c r="B22" s="7" t="s">
        <v>28</v>
      </c>
      <c r="C22" s="20" t="n">
        <f aca="false">ROUND('End-use matrix'!$N$30,3)</f>
        <v>-0</v>
      </c>
    </row>
    <row r="23" customFormat="false" ht="15" hidden="false" customHeight="false" outlineLevel="0" collapsed="false">
      <c r="B23" s="7" t="s">
        <v>29</v>
      </c>
      <c r="C23" s="20" t="n">
        <f aca="false">ROUND('Residual allocation'!$N$23,3)</f>
        <v>0</v>
      </c>
    </row>
    <row r="24" customFormat="false" ht="15" hidden="false" customHeight="false" outlineLevel="0" collapsed="false">
      <c r="B24" s="21" t="s">
        <v>30</v>
      </c>
      <c r="C24" s="22" t="str">
        <f aca="false">IF(AND(ABS(C21)&lt;0.01,ABS(C22)&lt;0.01,ABS(C23)&lt;0.01),"Reconciled","CHECK")</f>
        <v>Reconciled</v>
      </c>
    </row>
    <row r="26" customFormat="false" ht="15" hidden="false" customHeight="false" outlineLevel="0" collapsed="false">
      <c r="B26" s="18" t="s">
        <v>31</v>
      </c>
    </row>
    <row r="27" customFormat="false" ht="19.5" hidden="false" customHeight="true" outlineLevel="0" collapsed="false">
      <c r="B27" s="5" t="s">
        <v>32</v>
      </c>
      <c r="C27" s="5" t="s">
        <v>6</v>
      </c>
      <c r="D27" s="5" t="s">
        <v>33</v>
      </c>
    </row>
    <row r="28" customFormat="false" ht="15" hidden="false" customHeight="false" outlineLevel="0" collapsed="false">
      <c r="B28" s="7" t="s">
        <v>34</v>
      </c>
      <c r="C28" s="8" t="n">
        <f aca="false">'Product supply'!G22</f>
        <v>687</v>
      </c>
      <c r="D28" s="23" t="n">
        <f aca="false">C28/SUM($C$28:$C$30)</f>
        <v>0.39988358556461</v>
      </c>
    </row>
    <row r="29" customFormat="false" ht="15" hidden="false" customHeight="false" outlineLevel="0" collapsed="false">
      <c r="B29" s="7" t="s">
        <v>35</v>
      </c>
      <c r="C29" s="8" t="n">
        <f aca="false">'Product supply'!G23</f>
        <v>842</v>
      </c>
      <c r="D29" s="23" t="n">
        <f aca="false">C29/SUM($C$28:$C$30)</f>
        <v>0.490104772991851</v>
      </c>
    </row>
    <row r="30" customFormat="false" ht="15" hidden="false" customHeight="false" outlineLevel="0" collapsed="false">
      <c r="B30" s="7" t="s">
        <v>36</v>
      </c>
      <c r="C30" s="8" t="n">
        <f aca="false">'Product supply'!G24</f>
        <v>189</v>
      </c>
      <c r="D30" s="23" t="n">
        <f aca="false">C30/SUM($C$28:$C$30)</f>
        <v>0.110011641443539</v>
      </c>
    </row>
    <row r="32" customFormat="false" ht="15" hidden="false" customHeight="false" outlineLevel="0" collapsed="false">
      <c r="B32" s="18" t="s">
        <v>37</v>
      </c>
    </row>
    <row r="33" customFormat="false" ht="15" hidden="false" customHeight="false" outlineLevel="0" collapsed="false">
      <c r="B33" s="7" t="s">
        <v>38</v>
      </c>
    </row>
    <row r="34" customFormat="false" ht="15" hidden="false" customHeight="false" outlineLevel="0" collapsed="false">
      <c r="B34" s="7" t="s">
        <v>39</v>
      </c>
    </row>
    <row r="35" customFormat="false" ht="15" hidden="false" customHeight="false" outlineLevel="0" collapsed="false">
      <c r="B35" s="7" t="s">
        <v>40</v>
      </c>
    </row>
    <row r="36" customFormat="false" ht="15" hidden="false" customHeight="false" outlineLevel="0" collapsed="false">
      <c r="B36" s="7" t="s">
        <v>41</v>
      </c>
    </row>
    <row r="37" customFormat="false" ht="15" hidden="false" customHeight="false" outlineLevel="0" collapsed="false">
      <c r="B37" s="7" t="s">
        <v>42</v>
      </c>
    </row>
    <row r="38" customFormat="false" ht="15" hidden="false" customHeight="false" outlineLevel="0" collapsed="false">
      <c r="B38" s="7" t="s">
        <v>43</v>
      </c>
    </row>
    <row r="39" customFormat="false" ht="15" hidden="false" customHeight="false" outlineLevel="0" collapsed="false">
      <c r="B39" s="7" t="s">
        <v>44</v>
      </c>
    </row>
    <row r="40" customFormat="false" ht="15" hidden="false" customHeight="false" outlineLevel="0" collapsed="false">
      <c r="B40" s="7" t="s">
        <v>45</v>
      </c>
    </row>
  </sheetData>
  <mergeCells count="2">
    <mergeCell ref="B3:J3"/>
    <mergeCell ref="B16:E16"/>
  </mergeCells>
  <hyperlinks>
    <hyperlink ref="B1" r:id="rId1" display="WORLD STEEL DEMAND BY END-USE INDUSTRY, 2025"/>
    <hyperlink ref="I1" r:id="rId2" display="2025 demand data"/>
    <hyperlink ref="J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B2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110"/>
  </cols>
  <sheetData>
    <row r="1" customFormat="false" ht="20.25" hidden="false" customHeight="true" outlineLevel="0" collapsed="false">
      <c r="B1" s="1" t="s">
        <v>46</v>
      </c>
    </row>
    <row r="2" customFormat="false" ht="16.5" hidden="false" customHeight="true" outlineLevel="0" collapsed="false">
      <c r="B2" s="24" t="s">
        <v>47</v>
      </c>
    </row>
    <row r="3" customFormat="false" ht="41.25" hidden="false" customHeight="true" outlineLevel="0" collapsed="false">
      <c r="B3" s="25" t="s">
        <v>4</v>
      </c>
    </row>
    <row r="5" customFormat="false" ht="15" hidden="false" customHeight="false" outlineLevel="0" collapsed="false">
      <c r="B5" s="18" t="s">
        <v>48</v>
      </c>
    </row>
    <row r="6" customFormat="false" ht="27.75" hidden="false" customHeight="true" outlineLevel="0" collapsed="false">
      <c r="B6" s="26" t="s">
        <v>49</v>
      </c>
    </row>
    <row r="7" customFormat="false" ht="27.75" hidden="false" customHeight="true" outlineLevel="0" collapsed="false">
      <c r="B7" s="26" t="s">
        <v>50</v>
      </c>
    </row>
    <row r="9" customFormat="false" ht="15" hidden="false" customHeight="false" outlineLevel="0" collapsed="false">
      <c r="B9" s="18" t="s">
        <v>51</v>
      </c>
    </row>
    <row r="10" customFormat="false" ht="27.75" hidden="false" customHeight="true" outlineLevel="0" collapsed="false">
      <c r="B10" s="26" t="s">
        <v>52</v>
      </c>
    </row>
    <row r="11" customFormat="false" ht="27.75" hidden="false" customHeight="true" outlineLevel="0" collapsed="false">
      <c r="B11" s="26" t="s">
        <v>53</v>
      </c>
    </row>
    <row r="12" customFormat="false" ht="27.75" hidden="false" customHeight="true" outlineLevel="0" collapsed="false">
      <c r="B12" s="26" t="s">
        <v>54</v>
      </c>
    </row>
    <row r="14" customFormat="false" ht="15" hidden="false" customHeight="false" outlineLevel="0" collapsed="false">
      <c r="B14" s="18" t="s">
        <v>55</v>
      </c>
    </row>
    <row r="15" customFormat="false" ht="27.75" hidden="false" customHeight="true" outlineLevel="0" collapsed="false">
      <c r="B15" s="26" t="s">
        <v>56</v>
      </c>
    </row>
    <row r="16" customFormat="false" ht="27.75" hidden="false" customHeight="true" outlineLevel="0" collapsed="false">
      <c r="B16" s="26" t="s">
        <v>57</v>
      </c>
    </row>
    <row r="18" customFormat="false" ht="15" hidden="false" customHeight="false" outlineLevel="0" collapsed="false">
      <c r="B18" s="18" t="s">
        <v>58</v>
      </c>
    </row>
    <row r="19" customFormat="false" ht="27.75" hidden="false" customHeight="true" outlineLevel="0" collapsed="false">
      <c r="B19" s="26" t="s">
        <v>59</v>
      </c>
    </row>
    <row r="20" customFormat="false" ht="27.75" hidden="false" customHeight="true" outlineLevel="0" collapsed="false">
      <c r="B20" s="26" t="s">
        <v>60</v>
      </c>
    </row>
    <row r="22" customFormat="false" ht="15" hidden="false" customHeight="false" outlineLevel="0" collapsed="false">
      <c r="B22" s="18" t="s">
        <v>61</v>
      </c>
    </row>
    <row r="23" customFormat="false" ht="15.75" hidden="false" customHeight="true" outlineLevel="0" collapsed="false">
      <c r="B23" s="27" t="s">
        <v>62</v>
      </c>
    </row>
    <row r="24" customFormat="false" ht="15.75" hidden="false" customHeight="true" outlineLevel="0" collapsed="false">
      <c r="B24" s="26" t="s">
        <v>63</v>
      </c>
    </row>
  </sheetData>
  <hyperlinks>
    <hyperlink ref="B1" r:id="rId1" display="TERMS OF USE AND DISCLAIMER"/>
    <hyperlink ref="B2" r:id="rId2" display="See also: https://www.steelonthenet.com/resources/market-data/consumption.html"/>
    <hyperlink ref="B3" r:id="rId3"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 ref="B23" r:id="rId4" display="Use of this workbook is subject to the SteelOnTheNet legal terms: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000"/>
    <pageSetUpPr fitToPage="true"/>
  </sheetPr>
  <dimension ref="B1:I5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4" topLeftCell="C5" activePane="bottomRight" state="frozen"/>
      <selection pane="topLeft" activeCell="A1" activeCellId="0" sqref="A1"/>
      <selection pane="topRight" activeCell="C1" activeCellId="0" sqref="C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6"/>
    <col collapsed="false" customWidth="true" hidden="false" outlineLevel="0" max="3" min="3" style="0" width="46"/>
    <col collapsed="false" customWidth="true" hidden="false" outlineLevel="0" max="4" min="4" style="0" width="11"/>
    <col collapsed="false" customWidth="true" hidden="false" outlineLevel="0" max="5" min="5" style="0" width="12"/>
    <col collapsed="false" customWidth="true" hidden="false" outlineLevel="0" max="6" min="6" style="0" width="15"/>
    <col collapsed="false" customWidth="true" hidden="false" outlineLevel="0" max="7" min="7" style="0" width="70"/>
    <col collapsed="false" customWidth="true" hidden="false" outlineLevel="0" max="8" min="8" style="0" width="10"/>
  </cols>
  <sheetData>
    <row r="1" customFormat="false" ht="20.25" hidden="false" customHeight="true" outlineLevel="0" collapsed="false">
      <c r="B1" s="1" t="s">
        <v>64</v>
      </c>
      <c r="G1" s="2" t="s">
        <v>1</v>
      </c>
      <c r="H1" s="2" t="s">
        <v>2</v>
      </c>
    </row>
    <row r="2" customFormat="false" ht="29.25" hidden="false" customHeight="true" outlineLevel="0" collapsed="false">
      <c r="B2" s="17" t="s">
        <v>65</v>
      </c>
      <c r="C2" s="17"/>
      <c r="D2" s="17"/>
      <c r="E2" s="17"/>
      <c r="F2" s="17"/>
      <c r="G2" s="17"/>
      <c r="H2" s="17"/>
      <c r="I2" s="17"/>
    </row>
    <row r="3" customFormat="false" ht="41.25" hidden="false" customHeight="true" outlineLevel="0" collapsed="false">
      <c r="B3" s="4" t="s">
        <v>4</v>
      </c>
      <c r="C3" s="4"/>
      <c r="D3" s="4"/>
      <c r="E3" s="4"/>
      <c r="F3" s="4"/>
      <c r="G3" s="4"/>
      <c r="H3" s="4"/>
    </row>
    <row r="4" customFormat="false" ht="30" hidden="false" customHeight="true" outlineLevel="0" collapsed="false">
      <c r="B4" s="5" t="s">
        <v>66</v>
      </c>
      <c r="C4" s="5" t="s">
        <v>67</v>
      </c>
      <c r="D4" s="5" t="s">
        <v>68</v>
      </c>
      <c r="E4" s="5" t="s">
        <v>69</v>
      </c>
      <c r="F4" s="5" t="s">
        <v>70</v>
      </c>
      <c r="G4" s="5" t="s">
        <v>71</v>
      </c>
      <c r="H4" s="5" t="s">
        <v>72</v>
      </c>
    </row>
    <row r="5" customFormat="false" ht="15" hidden="false" customHeight="false" outlineLevel="0" collapsed="false">
      <c r="C5" s="18" t="s">
        <v>73</v>
      </c>
    </row>
    <row r="6" customFormat="false" ht="22.35" hidden="false" customHeight="false" outlineLevel="0" collapsed="false">
      <c r="B6" s="3" t="s">
        <v>74</v>
      </c>
      <c r="C6" s="26" t="s">
        <v>75</v>
      </c>
      <c r="D6" s="28" t="n">
        <v>1718</v>
      </c>
      <c r="E6" s="7" t="s">
        <v>76</v>
      </c>
      <c r="F6" s="7" t="s">
        <v>77</v>
      </c>
      <c r="G6" s="29" t="s">
        <v>78</v>
      </c>
      <c r="H6" s="3" t="s">
        <v>79</v>
      </c>
    </row>
    <row r="7" customFormat="false" ht="22.35" hidden="false" customHeight="false" outlineLevel="0" collapsed="false">
      <c r="B7" s="3" t="s">
        <v>80</v>
      </c>
      <c r="C7" s="26" t="s">
        <v>81</v>
      </c>
      <c r="D7" s="28" t="n">
        <v>687</v>
      </c>
      <c r="E7" s="7" t="s">
        <v>76</v>
      </c>
      <c r="F7" s="7" t="s">
        <v>82</v>
      </c>
      <c r="G7" s="29" t="s">
        <v>83</v>
      </c>
      <c r="H7" s="3" t="s">
        <v>84</v>
      </c>
    </row>
    <row r="8" customFormat="false" ht="22.35" hidden="false" customHeight="false" outlineLevel="0" collapsed="false">
      <c r="B8" s="3" t="s">
        <v>85</v>
      </c>
      <c r="C8" s="26" t="s">
        <v>86</v>
      </c>
      <c r="D8" s="28" t="n">
        <v>842</v>
      </c>
      <c r="E8" s="7" t="s">
        <v>76</v>
      </c>
      <c r="F8" s="7" t="s">
        <v>82</v>
      </c>
      <c r="G8" s="29" t="s">
        <v>87</v>
      </c>
      <c r="H8" s="3" t="s">
        <v>84</v>
      </c>
    </row>
    <row r="9" customFormat="false" ht="22.35" hidden="false" customHeight="false" outlineLevel="0" collapsed="false">
      <c r="B9" s="3" t="s">
        <v>88</v>
      </c>
      <c r="C9" s="26" t="s">
        <v>89</v>
      </c>
      <c r="D9" s="28" t="n">
        <v>189</v>
      </c>
      <c r="E9" s="7" t="s">
        <v>76</v>
      </c>
      <c r="F9" s="7" t="s">
        <v>82</v>
      </c>
      <c r="G9" s="29" t="s">
        <v>90</v>
      </c>
      <c r="H9" s="3" t="s">
        <v>84</v>
      </c>
    </row>
    <row r="10" customFormat="false" ht="22.35" hidden="false" customHeight="false" outlineLevel="0" collapsed="false">
      <c r="B10" s="3" t="s">
        <v>91</v>
      </c>
      <c r="C10" s="26" t="s">
        <v>92</v>
      </c>
      <c r="D10" s="30" t="n">
        <v>6</v>
      </c>
      <c r="E10" s="7" t="s">
        <v>76</v>
      </c>
      <c r="F10" s="7" t="s">
        <v>93</v>
      </c>
      <c r="G10" s="29" t="s">
        <v>94</v>
      </c>
      <c r="H10" s="3" t="s">
        <v>95</v>
      </c>
    </row>
    <row r="11" customFormat="false" ht="15" hidden="false" customHeight="false" outlineLevel="0" collapsed="false">
      <c r="C11" s="18" t="s">
        <v>96</v>
      </c>
    </row>
    <row r="12" customFormat="false" ht="15" hidden="false" customHeight="false" outlineLevel="0" collapsed="false">
      <c r="B12" s="3" t="s">
        <v>97</v>
      </c>
      <c r="C12" s="26" t="s">
        <v>98</v>
      </c>
      <c r="D12" s="31" t="n">
        <v>71.3</v>
      </c>
      <c r="E12" s="7" t="s">
        <v>99</v>
      </c>
      <c r="F12" s="7" t="s">
        <v>77</v>
      </c>
      <c r="G12" s="29" t="s">
        <v>100</v>
      </c>
      <c r="H12" s="3" t="s">
        <v>101</v>
      </c>
    </row>
    <row r="13" customFormat="false" ht="15" hidden="false" customHeight="false" outlineLevel="0" collapsed="false">
      <c r="B13" s="3" t="s">
        <v>102</v>
      </c>
      <c r="C13" s="26" t="s">
        <v>103</v>
      </c>
      <c r="D13" s="31" t="n">
        <v>20.9</v>
      </c>
      <c r="E13" s="7" t="s">
        <v>99</v>
      </c>
      <c r="F13" s="7" t="s">
        <v>77</v>
      </c>
      <c r="G13" s="29" t="s">
        <v>104</v>
      </c>
      <c r="H13" s="3" t="s">
        <v>101</v>
      </c>
    </row>
    <row r="14" customFormat="false" ht="15" hidden="false" customHeight="false" outlineLevel="0" collapsed="false">
      <c r="B14" s="3" t="s">
        <v>105</v>
      </c>
      <c r="C14" s="26" t="s">
        <v>106</v>
      </c>
      <c r="D14" s="28" t="n">
        <v>900</v>
      </c>
      <c r="E14" s="7" t="s">
        <v>107</v>
      </c>
      <c r="F14" s="7" t="s">
        <v>108</v>
      </c>
      <c r="G14" s="29" t="s">
        <v>109</v>
      </c>
      <c r="H14" s="3" t="s">
        <v>110</v>
      </c>
    </row>
    <row r="15" customFormat="false" ht="22.35" hidden="false" customHeight="false" outlineLevel="0" collapsed="false">
      <c r="B15" s="3" t="s">
        <v>111</v>
      </c>
      <c r="C15" s="26" t="s">
        <v>112</v>
      </c>
      <c r="D15" s="28" t="n">
        <v>1025</v>
      </c>
      <c r="E15" s="7" t="s">
        <v>107</v>
      </c>
      <c r="F15" s="7" t="s">
        <v>93</v>
      </c>
      <c r="G15" s="29" t="s">
        <v>113</v>
      </c>
      <c r="H15" s="3" t="s">
        <v>114</v>
      </c>
    </row>
    <row r="16" customFormat="false" ht="15" hidden="false" customHeight="false" outlineLevel="0" collapsed="false">
      <c r="B16" s="3" t="s">
        <v>115</v>
      </c>
      <c r="C16" s="26" t="s">
        <v>116</v>
      </c>
      <c r="D16" s="32" t="n">
        <v>0.3</v>
      </c>
      <c r="E16" s="7" t="s">
        <v>117</v>
      </c>
      <c r="F16" s="7" t="s">
        <v>93</v>
      </c>
      <c r="G16" s="29" t="s">
        <v>118</v>
      </c>
      <c r="H16" s="3" t="s">
        <v>114</v>
      </c>
    </row>
    <row r="17" customFormat="false" ht="15" hidden="false" customHeight="false" outlineLevel="0" collapsed="false">
      <c r="B17" s="3" t="s">
        <v>119</v>
      </c>
      <c r="C17" s="26" t="s">
        <v>120</v>
      </c>
      <c r="D17" s="32" t="n">
        <v>0.15</v>
      </c>
      <c r="E17" s="7" t="s">
        <v>117</v>
      </c>
      <c r="F17" s="7" t="s">
        <v>93</v>
      </c>
      <c r="G17" s="29" t="s">
        <v>121</v>
      </c>
      <c r="H17" s="3" t="s">
        <v>122</v>
      </c>
    </row>
    <row r="18" customFormat="false" ht="15" hidden="false" customHeight="false" outlineLevel="0" collapsed="false">
      <c r="C18" s="18" t="s">
        <v>16</v>
      </c>
    </row>
    <row r="19" customFormat="false" ht="15" hidden="false" customHeight="false" outlineLevel="0" collapsed="false">
      <c r="B19" s="3" t="s">
        <v>123</v>
      </c>
      <c r="C19" s="26" t="s">
        <v>124</v>
      </c>
      <c r="D19" s="31" t="n">
        <v>3.9</v>
      </c>
      <c r="E19" s="7" t="s">
        <v>99</v>
      </c>
      <c r="F19" s="7" t="s">
        <v>77</v>
      </c>
      <c r="G19" s="29" t="s">
        <v>125</v>
      </c>
      <c r="H19" s="3" t="s">
        <v>101</v>
      </c>
    </row>
    <row r="20" customFormat="false" ht="15" hidden="false" customHeight="false" outlineLevel="0" collapsed="false">
      <c r="B20" s="3" t="s">
        <v>126</v>
      </c>
      <c r="C20" s="26" t="s">
        <v>127</v>
      </c>
      <c r="D20" s="31" t="n">
        <v>3.25</v>
      </c>
      <c r="E20" s="7" t="s">
        <v>128</v>
      </c>
      <c r="F20" s="7" t="s">
        <v>108</v>
      </c>
      <c r="G20" s="29" t="s">
        <v>129</v>
      </c>
      <c r="H20" s="3" t="s">
        <v>130</v>
      </c>
    </row>
    <row r="21" customFormat="false" ht="15" hidden="false" customHeight="false" outlineLevel="0" collapsed="false">
      <c r="B21" s="3" t="s">
        <v>131</v>
      </c>
      <c r="C21" s="26" t="s">
        <v>132</v>
      </c>
      <c r="D21" s="31" t="n">
        <v>0.32</v>
      </c>
      <c r="E21" s="7" t="s">
        <v>99</v>
      </c>
      <c r="F21" s="7" t="s">
        <v>77</v>
      </c>
      <c r="G21" s="29" t="s">
        <v>104</v>
      </c>
      <c r="H21" s="3" t="s">
        <v>101</v>
      </c>
    </row>
    <row r="22" customFormat="false" ht="15" hidden="false" customHeight="false" outlineLevel="0" collapsed="false">
      <c r="B22" s="3" t="s">
        <v>133</v>
      </c>
      <c r="C22" s="26" t="s">
        <v>134</v>
      </c>
      <c r="D22" s="31" t="n">
        <v>8.125</v>
      </c>
      <c r="E22" s="7" t="s">
        <v>128</v>
      </c>
      <c r="F22" s="7" t="s">
        <v>93</v>
      </c>
      <c r="G22" s="29" t="s">
        <v>135</v>
      </c>
      <c r="H22" s="3" t="s">
        <v>114</v>
      </c>
    </row>
    <row r="23" customFormat="false" ht="15" hidden="false" customHeight="false" outlineLevel="0" collapsed="false">
      <c r="B23" s="3" t="s">
        <v>136</v>
      </c>
      <c r="C23" s="26" t="s">
        <v>137</v>
      </c>
      <c r="D23" s="32" t="n">
        <v>0.25</v>
      </c>
      <c r="E23" s="7" t="s">
        <v>117</v>
      </c>
      <c r="F23" s="7" t="s">
        <v>93</v>
      </c>
      <c r="G23" s="29" t="s">
        <v>138</v>
      </c>
      <c r="H23" s="3" t="s">
        <v>114</v>
      </c>
    </row>
    <row r="24" customFormat="false" ht="15" hidden="false" customHeight="false" outlineLevel="0" collapsed="false">
      <c r="B24" s="3" t="s">
        <v>139</v>
      </c>
      <c r="C24" s="26" t="s">
        <v>140</v>
      </c>
      <c r="D24" s="31" t="n">
        <v>53.69</v>
      </c>
      <c r="E24" s="7" t="s">
        <v>141</v>
      </c>
      <c r="F24" s="7" t="s">
        <v>77</v>
      </c>
      <c r="G24" s="29" t="s">
        <v>142</v>
      </c>
      <c r="H24" s="3" t="s">
        <v>143</v>
      </c>
    </row>
    <row r="25" customFormat="false" ht="15" hidden="false" customHeight="false" outlineLevel="0" collapsed="false">
      <c r="B25" s="3" t="s">
        <v>144</v>
      </c>
      <c r="C25" s="26" t="s">
        <v>145</v>
      </c>
      <c r="D25" s="32" t="n">
        <v>0.561</v>
      </c>
      <c r="E25" s="7" t="s">
        <v>117</v>
      </c>
      <c r="F25" s="7" t="s">
        <v>77</v>
      </c>
      <c r="G25" s="29" t="s">
        <v>146</v>
      </c>
      <c r="H25" s="3" t="s">
        <v>143</v>
      </c>
    </row>
    <row r="26" customFormat="false" ht="22.35" hidden="false" customHeight="false" outlineLevel="0" collapsed="false">
      <c r="B26" s="3" t="s">
        <v>147</v>
      </c>
      <c r="C26" s="26" t="s">
        <v>148</v>
      </c>
      <c r="D26" s="30" t="n">
        <v>0.2</v>
      </c>
      <c r="E26" s="7" t="s">
        <v>149</v>
      </c>
      <c r="F26" s="7" t="s">
        <v>93</v>
      </c>
      <c r="G26" s="29" t="s">
        <v>150</v>
      </c>
      <c r="H26" s="3" t="s">
        <v>151</v>
      </c>
    </row>
    <row r="27" customFormat="false" ht="15" hidden="false" customHeight="false" outlineLevel="0" collapsed="false">
      <c r="B27" s="3" t="s">
        <v>152</v>
      </c>
      <c r="C27" s="26" t="s">
        <v>153</v>
      </c>
      <c r="D27" s="32" t="n">
        <v>0.3</v>
      </c>
      <c r="E27" s="7" t="s">
        <v>117</v>
      </c>
      <c r="F27" s="7" t="s">
        <v>93</v>
      </c>
      <c r="G27" s="29" t="s">
        <v>138</v>
      </c>
      <c r="H27" s="3" t="s">
        <v>114</v>
      </c>
    </row>
    <row r="28" customFormat="false" ht="15" hidden="false" customHeight="false" outlineLevel="0" collapsed="false">
      <c r="B28" s="3" t="s">
        <v>154</v>
      </c>
      <c r="C28" s="26" t="s">
        <v>155</v>
      </c>
      <c r="D28" s="31" t="n">
        <v>0.1</v>
      </c>
      <c r="E28" s="7" t="s">
        <v>76</v>
      </c>
      <c r="F28" s="7" t="s">
        <v>93</v>
      </c>
      <c r="G28" s="29" t="s">
        <v>156</v>
      </c>
      <c r="H28" s="3" t="s">
        <v>114</v>
      </c>
    </row>
    <row r="29" customFormat="false" ht="15" hidden="false" customHeight="false" outlineLevel="0" collapsed="false">
      <c r="C29" s="18" t="s">
        <v>17</v>
      </c>
    </row>
    <row r="30" customFormat="false" ht="15" hidden="false" customHeight="false" outlineLevel="0" collapsed="false">
      <c r="B30" s="3" t="s">
        <v>157</v>
      </c>
      <c r="C30" s="26" t="s">
        <v>158</v>
      </c>
      <c r="D30" s="33" t="n">
        <v>570</v>
      </c>
      <c r="E30" s="7" t="s">
        <v>99</v>
      </c>
      <c r="F30" s="7" t="s">
        <v>77</v>
      </c>
      <c r="G30" s="29" t="s">
        <v>159</v>
      </c>
      <c r="H30" s="3" t="s">
        <v>160</v>
      </c>
    </row>
    <row r="31" customFormat="false" ht="22.35" hidden="false" customHeight="false" outlineLevel="0" collapsed="false">
      <c r="B31" s="3" t="s">
        <v>161</v>
      </c>
      <c r="C31" s="26" t="s">
        <v>162</v>
      </c>
      <c r="D31" s="28" t="n">
        <v>124</v>
      </c>
      <c r="E31" s="7" t="s">
        <v>107</v>
      </c>
      <c r="F31" s="7" t="s">
        <v>93</v>
      </c>
      <c r="G31" s="29" t="s">
        <v>163</v>
      </c>
      <c r="H31" s="3" t="s">
        <v>114</v>
      </c>
    </row>
    <row r="32" customFormat="false" ht="15" hidden="false" customHeight="false" outlineLevel="0" collapsed="false">
      <c r="B32" s="3" t="s">
        <v>164</v>
      </c>
      <c r="C32" s="26" t="s">
        <v>165</v>
      </c>
      <c r="D32" s="32" t="n">
        <v>0.65</v>
      </c>
      <c r="E32" s="7" t="s">
        <v>117</v>
      </c>
      <c r="F32" s="7" t="s">
        <v>93</v>
      </c>
      <c r="G32" s="29" t="s">
        <v>138</v>
      </c>
      <c r="H32" s="3" t="s">
        <v>114</v>
      </c>
    </row>
    <row r="33" customFormat="false" ht="15" hidden="false" customHeight="false" outlineLevel="0" collapsed="false">
      <c r="B33" s="3" t="s">
        <v>166</v>
      </c>
      <c r="C33" s="26" t="s">
        <v>167</v>
      </c>
      <c r="D33" s="32" t="n">
        <v>0.28</v>
      </c>
      <c r="E33" s="7" t="s">
        <v>117</v>
      </c>
      <c r="F33" s="7" t="s">
        <v>93</v>
      </c>
      <c r="G33" s="29" t="s">
        <v>168</v>
      </c>
      <c r="H33" s="3" t="s">
        <v>114</v>
      </c>
    </row>
    <row r="34" customFormat="false" ht="15" hidden="false" customHeight="false" outlineLevel="0" collapsed="false">
      <c r="C34" s="18" t="s">
        <v>169</v>
      </c>
    </row>
    <row r="35" customFormat="false" ht="15" hidden="false" customHeight="false" outlineLevel="0" collapsed="false">
      <c r="B35" s="3" t="s">
        <v>170</v>
      </c>
      <c r="C35" s="26" t="s">
        <v>171</v>
      </c>
      <c r="D35" s="33" t="n">
        <v>215</v>
      </c>
      <c r="E35" s="7" t="s">
        <v>172</v>
      </c>
      <c r="F35" s="7" t="s">
        <v>77</v>
      </c>
      <c r="G35" s="29" t="s">
        <v>173</v>
      </c>
      <c r="H35" s="3" t="s">
        <v>174</v>
      </c>
    </row>
    <row r="36" customFormat="false" ht="15" hidden="false" customHeight="false" outlineLevel="0" collapsed="false">
      <c r="B36" s="3" t="s">
        <v>175</v>
      </c>
      <c r="C36" s="26" t="s">
        <v>176</v>
      </c>
      <c r="D36" s="32" t="n">
        <v>0.25</v>
      </c>
      <c r="E36" s="7" t="s">
        <v>117</v>
      </c>
      <c r="F36" s="7" t="s">
        <v>93</v>
      </c>
      <c r="G36" s="29" t="s">
        <v>138</v>
      </c>
      <c r="H36" s="3" t="s">
        <v>114</v>
      </c>
    </row>
    <row r="37" customFormat="false" ht="15" hidden="false" customHeight="false" outlineLevel="0" collapsed="false">
      <c r="B37" s="3" t="s">
        <v>177</v>
      </c>
      <c r="C37" s="26" t="s">
        <v>178</v>
      </c>
      <c r="D37" s="34" t="n">
        <v>0.15</v>
      </c>
      <c r="E37" s="7" t="s">
        <v>117</v>
      </c>
      <c r="F37" s="7" t="s">
        <v>93</v>
      </c>
      <c r="G37" s="29" t="s">
        <v>179</v>
      </c>
      <c r="H37" s="3" t="s">
        <v>114</v>
      </c>
    </row>
    <row r="38" customFormat="false" ht="15" hidden="false" customHeight="false" outlineLevel="0" collapsed="false">
      <c r="B38" s="3" t="s">
        <v>180</v>
      </c>
      <c r="C38" s="26" t="s">
        <v>181</v>
      </c>
      <c r="D38" s="33" t="n">
        <v>800</v>
      </c>
      <c r="E38" s="7" t="s">
        <v>182</v>
      </c>
      <c r="F38" s="7" t="s">
        <v>93</v>
      </c>
      <c r="G38" s="29" t="s">
        <v>183</v>
      </c>
      <c r="H38" s="3" t="s">
        <v>114</v>
      </c>
    </row>
    <row r="39" customFormat="false" ht="15" hidden="false" customHeight="false" outlineLevel="0" collapsed="false">
      <c r="C39" s="18" t="s">
        <v>18</v>
      </c>
    </row>
    <row r="40" customFormat="false" ht="15" hidden="false" customHeight="false" outlineLevel="0" collapsed="false">
      <c r="B40" s="3" t="s">
        <v>184</v>
      </c>
      <c r="C40" s="26" t="s">
        <v>185</v>
      </c>
      <c r="D40" s="31" t="n">
        <v>6.45</v>
      </c>
      <c r="E40" s="7" t="s">
        <v>186</v>
      </c>
      <c r="F40" s="7" t="s">
        <v>77</v>
      </c>
      <c r="G40" s="29" t="s">
        <v>187</v>
      </c>
      <c r="H40" s="3" t="s">
        <v>188</v>
      </c>
    </row>
    <row r="41" customFormat="false" ht="15" hidden="false" customHeight="false" outlineLevel="0" collapsed="false">
      <c r="B41" s="3" t="s">
        <v>189</v>
      </c>
      <c r="C41" s="26" t="s">
        <v>190</v>
      </c>
      <c r="D41" s="32" t="n">
        <v>0.95</v>
      </c>
      <c r="E41" s="7" t="s">
        <v>117</v>
      </c>
      <c r="F41" s="7" t="s">
        <v>108</v>
      </c>
      <c r="G41" s="29" t="s">
        <v>191</v>
      </c>
      <c r="H41" s="3" t="s">
        <v>188</v>
      </c>
    </row>
    <row r="42" customFormat="false" ht="15" hidden="false" customHeight="false" outlineLevel="0" collapsed="false">
      <c r="B42" s="3" t="s">
        <v>192</v>
      </c>
      <c r="C42" s="26" t="s">
        <v>193</v>
      </c>
      <c r="D42" s="30" t="n">
        <v>1.75</v>
      </c>
      <c r="E42" s="7" t="s">
        <v>128</v>
      </c>
      <c r="F42" s="7" t="s">
        <v>93</v>
      </c>
      <c r="G42" s="29" t="s">
        <v>194</v>
      </c>
      <c r="H42" s="3" t="s">
        <v>195</v>
      </c>
    </row>
    <row r="43" customFormat="false" ht="15" hidden="false" customHeight="false" outlineLevel="0" collapsed="false">
      <c r="B43" s="3" t="s">
        <v>196</v>
      </c>
      <c r="C43" s="26" t="s">
        <v>197</v>
      </c>
      <c r="D43" s="32" t="n">
        <v>0.2</v>
      </c>
      <c r="E43" s="7" t="s">
        <v>117</v>
      </c>
      <c r="F43" s="7" t="s">
        <v>93</v>
      </c>
      <c r="G43" s="29" t="s">
        <v>138</v>
      </c>
      <c r="H43" s="3" t="s">
        <v>114</v>
      </c>
    </row>
    <row r="44" customFormat="false" ht="15" hidden="false" customHeight="false" outlineLevel="0" collapsed="false">
      <c r="B44" s="3" t="s">
        <v>198</v>
      </c>
      <c r="C44" s="26" t="s">
        <v>199</v>
      </c>
      <c r="D44" s="33" t="n">
        <v>35</v>
      </c>
      <c r="E44" s="7" t="s">
        <v>76</v>
      </c>
      <c r="F44" s="7" t="s">
        <v>200</v>
      </c>
      <c r="G44" s="29" t="s">
        <v>201</v>
      </c>
      <c r="H44" s="3" t="s">
        <v>202</v>
      </c>
    </row>
    <row r="45" customFormat="false" ht="15" hidden="false" customHeight="false" outlineLevel="0" collapsed="false">
      <c r="B45" s="3" t="s">
        <v>203</v>
      </c>
      <c r="C45" s="26" t="s">
        <v>204</v>
      </c>
      <c r="D45" s="32" t="n">
        <v>0.1</v>
      </c>
      <c r="E45" s="7" t="s">
        <v>117</v>
      </c>
      <c r="F45" s="7" t="s">
        <v>93</v>
      </c>
      <c r="G45" s="29" t="s">
        <v>138</v>
      </c>
      <c r="H45" s="3" t="s">
        <v>114</v>
      </c>
    </row>
    <row r="46" customFormat="false" ht="15" hidden="false" customHeight="false" outlineLevel="0" collapsed="false">
      <c r="B46" s="3" t="s">
        <v>205</v>
      </c>
      <c r="C46" s="26" t="s">
        <v>206</v>
      </c>
      <c r="D46" s="31" t="n">
        <v>9.78</v>
      </c>
      <c r="E46" s="7" t="s">
        <v>76</v>
      </c>
      <c r="F46" s="7" t="s">
        <v>200</v>
      </c>
      <c r="G46" s="29" t="s">
        <v>207</v>
      </c>
      <c r="H46" s="3" t="s">
        <v>208</v>
      </c>
    </row>
    <row r="47" customFormat="false" ht="15" hidden="false" customHeight="false" outlineLevel="0" collapsed="false">
      <c r="B47" s="3" t="s">
        <v>209</v>
      </c>
      <c r="C47" s="26" t="s">
        <v>210</v>
      </c>
      <c r="D47" s="34" t="n">
        <v>0.35</v>
      </c>
      <c r="E47" s="7" t="s">
        <v>117</v>
      </c>
      <c r="F47" s="7" t="s">
        <v>93</v>
      </c>
      <c r="G47" s="29" t="s">
        <v>211</v>
      </c>
      <c r="H47" s="3" t="s">
        <v>114</v>
      </c>
    </row>
    <row r="48" customFormat="false" ht="15" hidden="false" customHeight="false" outlineLevel="0" collapsed="false">
      <c r="B48" s="3" t="s">
        <v>212</v>
      </c>
      <c r="C48" s="26" t="s">
        <v>213</v>
      </c>
      <c r="D48" s="32" t="n">
        <v>0.1</v>
      </c>
      <c r="E48" s="7" t="s">
        <v>117</v>
      </c>
      <c r="F48" s="7" t="s">
        <v>93</v>
      </c>
      <c r="G48" s="29" t="s">
        <v>214</v>
      </c>
      <c r="H48" s="3" t="s">
        <v>114</v>
      </c>
    </row>
    <row r="49" customFormat="false" ht="15" hidden="false" customHeight="false" outlineLevel="0" collapsed="false">
      <c r="C49" s="18" t="s">
        <v>215</v>
      </c>
    </row>
    <row r="50" customFormat="false" ht="15" hidden="false" customHeight="false" outlineLevel="0" collapsed="false">
      <c r="B50" s="3" t="s">
        <v>216</v>
      </c>
      <c r="C50" s="26" t="s">
        <v>217</v>
      </c>
      <c r="D50" s="33" t="n">
        <v>50</v>
      </c>
      <c r="E50" s="7" t="s">
        <v>218</v>
      </c>
      <c r="F50" s="7" t="s">
        <v>93</v>
      </c>
      <c r="G50" s="29" t="s">
        <v>219</v>
      </c>
      <c r="H50" s="3" t="s">
        <v>114</v>
      </c>
    </row>
    <row r="51" customFormat="false" ht="15" hidden="false" customHeight="false" outlineLevel="0" collapsed="false">
      <c r="B51" s="3" t="s">
        <v>220</v>
      </c>
      <c r="C51" s="26" t="s">
        <v>221</v>
      </c>
      <c r="D51" s="33" t="n">
        <v>7200</v>
      </c>
      <c r="E51" s="7" t="s">
        <v>128</v>
      </c>
      <c r="F51" s="7" t="s">
        <v>93</v>
      </c>
      <c r="G51" s="29" t="s">
        <v>222</v>
      </c>
      <c r="H51" s="3" t="s">
        <v>114</v>
      </c>
    </row>
    <row r="52" customFormat="false" ht="15" hidden="false" customHeight="false" outlineLevel="0" collapsed="false">
      <c r="B52" s="3" t="s">
        <v>223</v>
      </c>
      <c r="C52" s="26" t="s">
        <v>224</v>
      </c>
      <c r="D52" s="32" t="n">
        <v>0.2</v>
      </c>
      <c r="E52" s="7" t="s">
        <v>117</v>
      </c>
      <c r="F52" s="7" t="s">
        <v>93</v>
      </c>
      <c r="G52" s="29" t="s">
        <v>138</v>
      </c>
      <c r="H52" s="3" t="s">
        <v>114</v>
      </c>
    </row>
    <row r="53" customFormat="false" ht="15" hidden="false" customHeight="false" outlineLevel="0" collapsed="false">
      <c r="C53" s="18" t="s">
        <v>20</v>
      </c>
    </row>
    <row r="54" customFormat="false" ht="22.35" hidden="false" customHeight="false" outlineLevel="0" collapsed="false">
      <c r="B54" s="3" t="s">
        <v>225</v>
      </c>
      <c r="C54" s="26" t="s">
        <v>226</v>
      </c>
      <c r="D54" s="33" t="n">
        <v>2887</v>
      </c>
      <c r="E54" s="7" t="s">
        <v>172</v>
      </c>
      <c r="F54" s="7" t="s">
        <v>77</v>
      </c>
      <c r="G54" s="29" t="s">
        <v>227</v>
      </c>
      <c r="H54" s="3" t="s">
        <v>228</v>
      </c>
    </row>
    <row r="55" customFormat="false" ht="15" hidden="false" customHeight="false" outlineLevel="0" collapsed="false">
      <c r="B55" s="3" t="s">
        <v>229</v>
      </c>
      <c r="C55" s="26" t="s">
        <v>230</v>
      </c>
      <c r="D55" s="28" t="n">
        <v>25</v>
      </c>
      <c r="E55" s="7" t="s">
        <v>231</v>
      </c>
      <c r="F55" s="7" t="s">
        <v>93</v>
      </c>
      <c r="G55" s="29" t="s">
        <v>138</v>
      </c>
      <c r="H55" s="3" t="s">
        <v>114</v>
      </c>
    </row>
    <row r="56" customFormat="false" ht="15" hidden="false" customHeight="false" outlineLevel="0" collapsed="false">
      <c r="B56" s="3" t="s">
        <v>232</v>
      </c>
      <c r="C56" s="26" t="s">
        <v>233</v>
      </c>
      <c r="D56" s="32" t="n">
        <v>0.2</v>
      </c>
      <c r="E56" s="7" t="s">
        <v>117</v>
      </c>
      <c r="F56" s="7" t="s">
        <v>93</v>
      </c>
      <c r="G56" s="29" t="s">
        <v>138</v>
      </c>
      <c r="H56" s="3" t="s">
        <v>114</v>
      </c>
    </row>
  </sheetData>
  <mergeCells count="2">
    <mergeCell ref="B2:I2"/>
    <mergeCell ref="B3:H3"/>
  </mergeCells>
  <hyperlinks>
    <hyperlink ref="B1" r:id="rId1" display="INPUTS AND DRIVERS - 2025"/>
    <hyperlink ref="G1" r:id="rId2" display="2025 demand data"/>
    <hyperlink ref="H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I2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24"/>
    <col collapsed="false" customWidth="true" hidden="false" outlineLevel="0" max="3" min="3" style="0" width="9"/>
    <col collapsed="false" customWidth="true" hidden="false" outlineLevel="0" max="4" min="4" style="0" width="14"/>
    <col collapsed="false" customWidth="true" hidden="false" outlineLevel="0" max="6" min="5" style="0" width="13"/>
    <col collapsed="false" customWidth="true" hidden="false" outlineLevel="0" max="7" min="7" style="0" width="14"/>
    <col collapsed="false" customWidth="true" hidden="false" outlineLevel="0" max="8" min="8" style="0" width="11"/>
    <col collapsed="false" customWidth="true" hidden="false" outlineLevel="0" max="9" min="9" style="0" width="12"/>
  </cols>
  <sheetData>
    <row r="1" customFormat="false" ht="20.25" hidden="false" customHeight="true" outlineLevel="0" collapsed="false">
      <c r="B1" s="1" t="s">
        <v>234</v>
      </c>
      <c r="G1" s="2" t="s">
        <v>1</v>
      </c>
      <c r="H1" s="2" t="s">
        <v>2</v>
      </c>
    </row>
    <row r="2" customFormat="false" ht="29.25" hidden="false" customHeight="true" outlineLevel="0" collapsed="false">
      <c r="B2" s="17" t="s">
        <v>235</v>
      </c>
      <c r="C2" s="17"/>
      <c r="D2" s="17"/>
      <c r="E2" s="17"/>
      <c r="F2" s="17"/>
      <c r="G2" s="17"/>
      <c r="H2" s="17"/>
      <c r="I2" s="17"/>
    </row>
    <row r="3" customFormat="false" ht="41.25" hidden="false" customHeight="true" outlineLevel="0" collapsed="false">
      <c r="B3" s="4" t="s">
        <v>4</v>
      </c>
      <c r="C3" s="4"/>
      <c r="D3" s="4"/>
      <c r="E3" s="4"/>
      <c r="F3" s="4"/>
      <c r="G3" s="4"/>
      <c r="H3" s="4"/>
    </row>
    <row r="4" customFormat="false" ht="30" hidden="false" customHeight="true" outlineLevel="0" collapsed="false">
      <c r="B4" s="5" t="s">
        <v>236</v>
      </c>
      <c r="C4" s="5" t="s">
        <v>237</v>
      </c>
      <c r="D4" s="5" t="s">
        <v>238</v>
      </c>
      <c r="E4" s="5" t="s">
        <v>239</v>
      </c>
      <c r="F4" s="5" t="s">
        <v>240</v>
      </c>
      <c r="G4" s="5" t="s">
        <v>6</v>
      </c>
      <c r="H4" s="5" t="s">
        <v>241</v>
      </c>
    </row>
    <row r="5" customFormat="false" ht="15" hidden="false" customHeight="false" outlineLevel="0" collapsed="false">
      <c r="B5" s="7" t="s">
        <v>242</v>
      </c>
      <c r="C5" s="7" t="s">
        <v>34</v>
      </c>
      <c r="D5" s="35" t="n">
        <v>12.2449</v>
      </c>
      <c r="E5" s="3" t="s">
        <v>243</v>
      </c>
      <c r="F5" s="36" t="n">
        <f aca="false">Inputs!$D$7</f>
        <v>687</v>
      </c>
      <c r="G5" s="36" t="n">
        <f aca="false">Inputs!$D$10</f>
        <v>6</v>
      </c>
      <c r="H5" s="23" t="n">
        <f aca="false">G5/$G$17</f>
        <v>0.00349243306169965</v>
      </c>
    </row>
    <row r="6" customFormat="false" ht="15" hidden="false" customHeight="false" outlineLevel="0" collapsed="false">
      <c r="B6" s="7" t="s">
        <v>244</v>
      </c>
      <c r="C6" s="7" t="s">
        <v>34</v>
      </c>
      <c r="D6" s="35" t="n">
        <v>387.8455</v>
      </c>
      <c r="E6" s="23" t="n">
        <f aca="false">D6/SUM($D$6:$D$9)</f>
        <v>0.659746267333956</v>
      </c>
      <c r="F6" s="36" t="n">
        <f aca="false">Inputs!$D$7</f>
        <v>687</v>
      </c>
      <c r="G6" s="19" t="n">
        <f aca="false">(F6-$G$5)*E6</f>
        <v>449.287208054424</v>
      </c>
      <c r="H6" s="23" t="n">
        <f aca="false">G6/$G$17</f>
        <v>0.261517583268</v>
      </c>
    </row>
    <row r="7" customFormat="false" ht="15" hidden="false" customHeight="false" outlineLevel="0" collapsed="false">
      <c r="B7" s="7" t="s">
        <v>245</v>
      </c>
      <c r="C7" s="7" t="s">
        <v>34</v>
      </c>
      <c r="D7" s="35" t="n">
        <v>70.2252</v>
      </c>
      <c r="E7" s="23" t="n">
        <f aca="false">D7/SUM($D$6:$D$9)</f>
        <v>0.119456880569146</v>
      </c>
      <c r="F7" s="36" t="n">
        <f aca="false">Inputs!$D$7</f>
        <v>687</v>
      </c>
      <c r="G7" s="19" t="n">
        <f aca="false">(F7-$G$5)*E7</f>
        <v>81.3501356675881</v>
      </c>
      <c r="H7" s="23" t="n">
        <f aca="false">G7/$G$17</f>
        <v>0.0473516505632061</v>
      </c>
    </row>
    <row r="8" customFormat="false" ht="15" hidden="false" customHeight="false" outlineLevel="0" collapsed="false">
      <c r="B8" s="7" t="s">
        <v>246</v>
      </c>
      <c r="C8" s="7" t="s">
        <v>34</v>
      </c>
      <c r="D8" s="35" t="n">
        <v>120.8</v>
      </c>
      <c r="E8" s="23" t="n">
        <f aca="false">D8/SUM($D$6:$D$9)</f>
        <v>0.205487363122537</v>
      </c>
      <c r="F8" s="36" t="n">
        <f aca="false">Inputs!$D$7</f>
        <v>687</v>
      </c>
      <c r="G8" s="19" t="n">
        <f aca="false">(F8-$G$5)*E8</f>
        <v>139.936894286448</v>
      </c>
      <c r="H8" s="23" t="n">
        <f aca="false">G8/$G$17</f>
        <v>0.0814533726929265</v>
      </c>
    </row>
    <row r="9" customFormat="false" ht="15" hidden="false" customHeight="false" outlineLevel="0" collapsed="false">
      <c r="B9" s="7" t="s">
        <v>247</v>
      </c>
      <c r="C9" s="7" t="s">
        <v>34</v>
      </c>
      <c r="D9" s="35" t="n">
        <v>9</v>
      </c>
      <c r="E9" s="23" t="n">
        <f aca="false">D9/SUM($D$6:$D$9)</f>
        <v>0.0153094889743612</v>
      </c>
      <c r="F9" s="36" t="n">
        <f aca="false">Inputs!$D$7</f>
        <v>687</v>
      </c>
      <c r="G9" s="19" t="n">
        <f aca="false">(F9-$G$5)*E9</f>
        <v>10.42576199154</v>
      </c>
      <c r="H9" s="23" t="n">
        <f aca="false">G9/$G$17</f>
        <v>0.00606854597877763</v>
      </c>
    </row>
    <row r="10" customFormat="false" ht="15" hidden="false" customHeight="false" outlineLevel="0" collapsed="false">
      <c r="B10" s="7" t="s">
        <v>248</v>
      </c>
      <c r="C10" s="7" t="s">
        <v>35</v>
      </c>
      <c r="D10" s="35" t="n">
        <v>44.0246</v>
      </c>
      <c r="E10" s="23" t="n">
        <f aca="false">D10/SUM($D$10:$D$14)</f>
        <v>0.0590717922350044</v>
      </c>
      <c r="F10" s="36" t="n">
        <f aca="false">Inputs!$D$8</f>
        <v>842</v>
      </c>
      <c r="G10" s="19" t="n">
        <f aca="false">F10*E10</f>
        <v>49.7384490618737</v>
      </c>
      <c r="H10" s="23" t="n">
        <f aca="false">G10/$G$17</f>
        <v>0.0289513673235586</v>
      </c>
    </row>
    <row r="11" customFormat="false" ht="15" hidden="false" customHeight="false" outlineLevel="0" collapsed="false">
      <c r="B11" s="7" t="s">
        <v>249</v>
      </c>
      <c r="C11" s="7" t="s">
        <v>35</v>
      </c>
      <c r="D11" s="35" t="n">
        <v>10.482</v>
      </c>
      <c r="E11" s="23" t="n">
        <f aca="false">D11/SUM($D$10:$D$14)</f>
        <v>0.0140646485421177</v>
      </c>
      <c r="F11" s="36" t="n">
        <f aca="false">Inputs!$D$8</f>
        <v>842</v>
      </c>
      <c r="G11" s="19" t="n">
        <f aca="false">F11*E11</f>
        <v>11.8424340724631</v>
      </c>
      <c r="H11" s="23" t="n">
        <f aca="false">G11/$G$17</f>
        <v>0.00689315138094478</v>
      </c>
    </row>
    <row r="12" customFormat="false" ht="15" hidden="false" customHeight="false" outlineLevel="0" collapsed="false">
      <c r="B12" s="7" t="s">
        <v>250</v>
      </c>
      <c r="C12" s="7" t="s">
        <v>35</v>
      </c>
      <c r="D12" s="35" t="n">
        <v>206.4961</v>
      </c>
      <c r="E12" s="23" t="n">
        <f aca="false">D12/SUM($D$10:$D$14)</f>
        <v>0.277074515533104</v>
      </c>
      <c r="F12" s="36" t="n">
        <f aca="false">Inputs!$D$8</f>
        <v>842</v>
      </c>
      <c r="G12" s="19" t="n">
        <f aca="false">F12*E12</f>
        <v>233.296742078874</v>
      </c>
      <c r="H12" s="23" t="n">
        <f aca="false">G12/$G$17</f>
        <v>0.135795542537179</v>
      </c>
    </row>
    <row r="13" customFormat="false" ht="15" hidden="false" customHeight="false" outlineLevel="0" collapsed="false">
      <c r="B13" s="7" t="s">
        <v>251</v>
      </c>
      <c r="C13" s="7" t="s">
        <v>35</v>
      </c>
      <c r="D13" s="35" t="n">
        <v>283.015</v>
      </c>
      <c r="E13" s="23" t="n">
        <f aca="false">D13/SUM($D$10:$D$14)</f>
        <v>0.379746852427729</v>
      </c>
      <c r="F13" s="36" t="n">
        <f aca="false">Inputs!$D$8</f>
        <v>842</v>
      </c>
      <c r="G13" s="19" t="n">
        <f aca="false">F13*E13</f>
        <v>319.746849744147</v>
      </c>
      <c r="H13" s="23" t="n">
        <f aca="false">G13/$G$17</f>
        <v>0.186115744903462</v>
      </c>
    </row>
    <row r="14" customFormat="false" ht="15" hidden="false" customHeight="false" outlineLevel="0" collapsed="false">
      <c r="B14" s="7" t="s">
        <v>252</v>
      </c>
      <c r="C14" s="7" t="s">
        <v>35</v>
      </c>
      <c r="D14" s="35" t="n">
        <v>201.2551</v>
      </c>
      <c r="E14" s="23" t="n">
        <f aca="false">D14/SUM($D$10:$D$14)</f>
        <v>0.270042191262045</v>
      </c>
      <c r="F14" s="36" t="n">
        <f aca="false">Inputs!$D$8</f>
        <v>842</v>
      </c>
      <c r="G14" s="19" t="n">
        <f aca="false">F14*E14</f>
        <v>227.375525042642</v>
      </c>
      <c r="H14" s="23" t="n">
        <f aca="false">G14/$G$17</f>
        <v>0.132348966846707</v>
      </c>
    </row>
    <row r="15" customFormat="false" ht="15" hidden="false" customHeight="false" outlineLevel="0" collapsed="false">
      <c r="B15" s="7" t="s">
        <v>36</v>
      </c>
      <c r="C15" s="7" t="s">
        <v>36</v>
      </c>
      <c r="D15" s="35" t="n">
        <v>154.5316</v>
      </c>
      <c r="E15" s="23" t="n">
        <f aca="false">D15/SUM($D$15:$D$15)</f>
        <v>1</v>
      </c>
      <c r="F15" s="36" t="n">
        <f aca="false">Inputs!$D$9</f>
        <v>189</v>
      </c>
      <c r="G15" s="19" t="n">
        <f aca="false">F15*E15</f>
        <v>189</v>
      </c>
      <c r="H15" s="23" t="n">
        <f aca="false">G15/$G$17</f>
        <v>0.110011641443539</v>
      </c>
    </row>
    <row r="16" customFormat="false" ht="15" hidden="false" customHeight="false" outlineLevel="0" collapsed="false">
      <c r="B16" s="3" t="s">
        <v>253</v>
      </c>
    </row>
    <row r="17" customFormat="false" ht="15" hidden="false" customHeight="false" outlineLevel="0" collapsed="false">
      <c r="B17" s="13" t="s">
        <v>254</v>
      </c>
      <c r="C17" s="37"/>
      <c r="D17" s="13"/>
      <c r="E17" s="37"/>
      <c r="F17" s="37"/>
      <c r="G17" s="38" t="n">
        <f aca="false">SUM(G5:G15)</f>
        <v>1718</v>
      </c>
      <c r="H17" s="39" t="n">
        <f aca="false">SUM(H5:H15)</f>
        <v>1</v>
      </c>
    </row>
    <row r="18" customFormat="false" ht="15" hidden="false" customHeight="false" outlineLevel="0" collapsed="false">
      <c r="B18" s="3" t="s">
        <v>255</v>
      </c>
      <c r="G18" s="40" t="n">
        <f aca="false">G17-Inputs!$D$6</f>
        <v>0</v>
      </c>
    </row>
    <row r="20" customFormat="false" ht="15" hidden="false" customHeight="false" outlineLevel="0" collapsed="false">
      <c r="B20" s="18" t="s">
        <v>256</v>
      </c>
    </row>
    <row r="21" customFormat="false" ht="19.5" hidden="false" customHeight="true" outlineLevel="0" collapsed="false">
      <c r="B21" s="5" t="s">
        <v>237</v>
      </c>
      <c r="C21" s="5"/>
      <c r="D21" s="5"/>
      <c r="E21" s="5"/>
      <c r="F21" s="5"/>
      <c r="G21" s="5" t="s">
        <v>257</v>
      </c>
      <c r="H21" s="5" t="s">
        <v>258</v>
      </c>
    </row>
    <row r="22" customFormat="false" ht="15" hidden="false" customHeight="false" outlineLevel="0" collapsed="false">
      <c r="B22" s="7" t="s">
        <v>34</v>
      </c>
      <c r="G22" s="19" t="n">
        <f aca="false">SUM(G5:G9)</f>
        <v>687</v>
      </c>
      <c r="H22" s="23" t="n">
        <f aca="false">G22/$G$17</f>
        <v>0.39988358556461</v>
      </c>
    </row>
    <row r="23" customFormat="false" ht="15" hidden="false" customHeight="false" outlineLevel="0" collapsed="false">
      <c r="B23" s="7" t="s">
        <v>35</v>
      </c>
      <c r="G23" s="19" t="n">
        <f aca="false">SUM(G10:G14)</f>
        <v>842</v>
      </c>
      <c r="H23" s="23" t="n">
        <f aca="false">G23/$G$17</f>
        <v>0.490104772991851</v>
      </c>
    </row>
    <row r="24" customFormat="false" ht="15" hidden="false" customHeight="false" outlineLevel="0" collapsed="false">
      <c r="B24" s="7" t="s">
        <v>36</v>
      </c>
      <c r="G24" s="19" t="n">
        <f aca="false">SUM(G15:G15)</f>
        <v>189</v>
      </c>
      <c r="H24" s="23" t="n">
        <f aca="false">G24/$G$17</f>
        <v>0.110011641443539</v>
      </c>
    </row>
  </sheetData>
  <mergeCells count="2">
    <mergeCell ref="B2:I2"/>
    <mergeCell ref="B3:H3"/>
  </mergeCells>
  <hyperlinks>
    <hyperlink ref="B1" r:id="rId2" display="FINISHED STEEL SUPPLY BY PRODUCT, 2025"/>
    <hyperlink ref="G1" r:id="rId3" display="2025 demand data"/>
    <hyperlink ref="H1" r:id="rId4" display="Terms of use"/>
    <hyperlink ref="B3" r:id="rId5"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legacyDrawing r:id="rId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O6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50"/>
    <col collapsed="false" customWidth="true" hidden="false" outlineLevel="0" max="13" min="3" style="0" width="10.51"/>
    <col collapsed="false" customWidth="true" hidden="false" outlineLevel="0" max="14" min="14" style="0" width="11"/>
    <col collapsed="false" customWidth="true" hidden="false" outlineLevel="0" max="15" min="15" style="0" width="10"/>
  </cols>
  <sheetData>
    <row r="1" customFormat="false" ht="20.25" hidden="false" customHeight="true" outlineLevel="0" collapsed="false">
      <c r="B1" s="1" t="s">
        <v>259</v>
      </c>
      <c r="N1" s="2" t="s">
        <v>1</v>
      </c>
      <c r="O1" s="2" t="s">
        <v>2</v>
      </c>
    </row>
    <row r="2" customFormat="false" ht="29.25" hidden="false" customHeight="true" outlineLevel="0" collapsed="false">
      <c r="B2" s="17" t="s">
        <v>260</v>
      </c>
      <c r="C2" s="17"/>
      <c r="D2" s="17"/>
      <c r="E2" s="17"/>
      <c r="F2" s="17"/>
      <c r="G2" s="17"/>
      <c r="H2" s="17"/>
      <c r="I2" s="17"/>
      <c r="J2" s="17"/>
      <c r="K2" s="17"/>
      <c r="L2" s="17"/>
      <c r="M2" s="17"/>
      <c r="N2" s="17"/>
    </row>
    <row r="3" customFormat="false" ht="41.25" hidden="false" customHeight="true" outlineLevel="0" collapsed="false">
      <c r="B3" s="4" t="s">
        <v>4</v>
      </c>
      <c r="C3" s="4"/>
      <c r="D3" s="4"/>
      <c r="E3" s="4"/>
      <c r="F3" s="4"/>
      <c r="G3" s="4"/>
      <c r="H3" s="4"/>
      <c r="I3" s="4"/>
      <c r="J3" s="4"/>
      <c r="K3" s="4"/>
      <c r="L3" s="4"/>
      <c r="M3" s="4"/>
      <c r="N3" s="4"/>
      <c r="O3" s="4"/>
    </row>
    <row r="4" customFormat="false" ht="15" hidden="false" customHeight="false" outlineLevel="0" collapsed="false">
      <c r="B4" s="18" t="s">
        <v>261</v>
      </c>
    </row>
    <row r="5" customFormat="false" ht="19.5" hidden="false" customHeight="true" outlineLevel="0" collapsed="false">
      <c r="B5" s="5" t="s">
        <v>262</v>
      </c>
      <c r="C5" s="5" t="s">
        <v>68</v>
      </c>
      <c r="D5" s="5" t="s">
        <v>69</v>
      </c>
    </row>
    <row r="6" customFormat="false" ht="15" hidden="false" customHeight="false" outlineLevel="0" collapsed="false">
      <c r="B6" s="7" t="s">
        <v>263</v>
      </c>
      <c r="C6" s="20" t="n">
        <f aca="false">Inputs!$D$12*Inputs!$D$14/1000</f>
        <v>64.17</v>
      </c>
      <c r="D6" s="7" t="s">
        <v>76</v>
      </c>
    </row>
    <row r="7" customFormat="false" ht="15" hidden="false" customHeight="false" outlineLevel="0" collapsed="false">
      <c r="B7" s="7" t="s">
        <v>264</v>
      </c>
      <c r="C7" s="20" t="n">
        <f aca="false">Inputs!$D$13*Inputs!$D$15/1000</f>
        <v>21.4225</v>
      </c>
      <c r="D7" s="7" t="s">
        <v>76</v>
      </c>
    </row>
    <row r="8" customFormat="false" ht="15" hidden="false" customHeight="false" outlineLevel="0" collapsed="false">
      <c r="B8" s="7" t="s">
        <v>265</v>
      </c>
      <c r="C8" s="20" t="n">
        <f aca="false">C6+C7</f>
        <v>85.5925</v>
      </c>
      <c r="D8" s="7" t="s">
        <v>76</v>
      </c>
    </row>
    <row r="9" customFormat="false" ht="15" hidden="false" customHeight="false" outlineLevel="0" collapsed="false">
      <c r="B9" s="7" t="s">
        <v>266</v>
      </c>
      <c r="C9" s="41" t="n">
        <f aca="false">C8/(Inputs!$D$12+Inputs!$D$13)*1000</f>
        <v>928.335140997831</v>
      </c>
      <c r="D9" s="7" t="s">
        <v>107</v>
      </c>
    </row>
    <row r="10" customFormat="false" ht="15" hidden="false" customHeight="false" outlineLevel="0" collapsed="false">
      <c r="B10" s="7" t="s">
        <v>267</v>
      </c>
      <c r="C10" s="42" t="n">
        <f aca="false">C8*(1+Inputs!$D$16)*(1+Inputs!$D$17)</f>
        <v>127.9607875</v>
      </c>
      <c r="D10" s="7" t="s">
        <v>76</v>
      </c>
    </row>
    <row r="11" customFormat="false" ht="15" hidden="false" customHeight="false" outlineLevel="0" collapsed="false">
      <c r="B11" s="7" t="s">
        <v>268</v>
      </c>
      <c r="C11" s="42" t="n">
        <f aca="false">Inputs!$D$19*Inputs!$D$20*(1+Inputs!$D$23)</f>
        <v>15.84375</v>
      </c>
      <c r="D11" s="7" t="s">
        <v>76</v>
      </c>
    </row>
    <row r="12" customFormat="false" ht="15" hidden="false" customHeight="false" outlineLevel="0" collapsed="false">
      <c r="B12" s="7" t="s">
        <v>269</v>
      </c>
      <c r="C12" s="42" t="n">
        <f aca="false">Inputs!$D$21*Inputs!$D$22*(1+Inputs!$D$23)</f>
        <v>3.25</v>
      </c>
      <c r="D12" s="7" t="s">
        <v>76</v>
      </c>
    </row>
    <row r="13" customFormat="false" ht="15" hidden="false" customHeight="false" outlineLevel="0" collapsed="false">
      <c r="B13" s="7" t="s">
        <v>270</v>
      </c>
      <c r="C13" s="20" t="n">
        <f aca="false">Inputs!$D$24/Inputs!$D$25</f>
        <v>95.7040998217469</v>
      </c>
      <c r="D13" s="7" t="s">
        <v>141</v>
      </c>
    </row>
    <row r="14" customFormat="false" ht="15" hidden="false" customHeight="false" outlineLevel="0" collapsed="false">
      <c r="B14" s="7" t="s">
        <v>271</v>
      </c>
      <c r="C14" s="42" t="n">
        <f aca="false">C13*Inputs!$D$26*(1+Inputs!$D$27)</f>
        <v>24.8830659536542</v>
      </c>
      <c r="D14" s="7" t="s">
        <v>76</v>
      </c>
    </row>
    <row r="15" customFormat="false" ht="15" hidden="false" customHeight="false" outlineLevel="0" collapsed="false">
      <c r="B15" s="7" t="s">
        <v>272</v>
      </c>
      <c r="C15" s="42" t="n">
        <f aca="false">Inputs!$D$28</f>
        <v>0.1</v>
      </c>
      <c r="D15" s="7" t="s">
        <v>76</v>
      </c>
    </row>
    <row r="16" customFormat="false" ht="15" hidden="false" customHeight="false" outlineLevel="0" collapsed="false">
      <c r="B16" s="7" t="s">
        <v>273</v>
      </c>
      <c r="C16" s="42" t="n">
        <f aca="false">'Product supply'!$G$11</f>
        <v>11.8424340724631</v>
      </c>
      <c r="D16" s="7" t="s">
        <v>76</v>
      </c>
    </row>
    <row r="17" customFormat="false" ht="15" hidden="false" customHeight="false" outlineLevel="0" collapsed="false">
      <c r="B17" s="7" t="s">
        <v>274</v>
      </c>
      <c r="C17" s="41" t="n">
        <f aca="false">Inputs!$D$31*Inputs!$D$32*(1+Inputs!$D$33)</f>
        <v>103.168</v>
      </c>
      <c r="D17" s="7" t="s">
        <v>107</v>
      </c>
    </row>
    <row r="18" customFormat="false" ht="15" hidden="false" customHeight="false" outlineLevel="0" collapsed="false">
      <c r="B18" s="7" t="s">
        <v>275</v>
      </c>
      <c r="C18" s="42" t="n">
        <f aca="false">Inputs!$D$30*C17/1000</f>
        <v>58.80576</v>
      </c>
      <c r="D18" s="7" t="s">
        <v>76</v>
      </c>
    </row>
    <row r="19" customFormat="false" ht="15" hidden="false" customHeight="false" outlineLevel="0" collapsed="false">
      <c r="B19" s="7" t="s">
        <v>276</v>
      </c>
      <c r="C19" s="20" t="n">
        <f aca="false">Inputs!$D$35*Inputs!$D$36*Inputs!$D$37</f>
        <v>8.0625</v>
      </c>
      <c r="D19" s="7" t="s">
        <v>172</v>
      </c>
    </row>
    <row r="20" customFormat="false" ht="15" hidden="false" customHeight="false" outlineLevel="0" collapsed="false">
      <c r="B20" s="7" t="s">
        <v>277</v>
      </c>
      <c r="C20" s="42" t="n">
        <f aca="false">C19/Inputs!$D$38*1000</f>
        <v>10.078125</v>
      </c>
      <c r="D20" s="7" t="s">
        <v>76</v>
      </c>
    </row>
    <row r="21" customFormat="false" ht="15" hidden="false" customHeight="false" outlineLevel="0" collapsed="false">
      <c r="B21" s="7" t="s">
        <v>278</v>
      </c>
      <c r="C21" s="20" t="n">
        <f aca="false">Inputs!$D$40/Inputs!$D$41</f>
        <v>6.78947368421053</v>
      </c>
      <c r="D21" s="7" t="s">
        <v>186</v>
      </c>
    </row>
    <row r="22" customFormat="false" ht="15" hidden="false" customHeight="false" outlineLevel="0" collapsed="false">
      <c r="B22" s="7" t="s">
        <v>279</v>
      </c>
      <c r="C22" s="42" t="n">
        <f aca="false">C21*Inputs!$D$42*(1+Inputs!$D$43)</f>
        <v>14.2578947368421</v>
      </c>
      <c r="D22" s="7" t="s">
        <v>76</v>
      </c>
    </row>
    <row r="23" customFormat="false" ht="15" hidden="false" customHeight="false" outlineLevel="0" collapsed="false">
      <c r="B23" s="7" t="s">
        <v>280</v>
      </c>
      <c r="C23" s="42" t="n">
        <f aca="false">'Product supply'!$G$9</f>
        <v>10.42576199154</v>
      </c>
      <c r="D23" s="7" t="s">
        <v>76</v>
      </c>
    </row>
    <row r="24" customFormat="false" ht="15" hidden="false" customHeight="false" outlineLevel="0" collapsed="false">
      <c r="B24" s="7" t="s">
        <v>281</v>
      </c>
      <c r="C24" s="42" t="n">
        <f aca="false">Inputs!$D$44*(1+Inputs!$D$45)</f>
        <v>38.5</v>
      </c>
      <c r="D24" s="7" t="s">
        <v>76</v>
      </c>
    </row>
    <row r="25" customFormat="false" ht="15" hidden="false" customHeight="false" outlineLevel="0" collapsed="false">
      <c r="B25" s="7" t="s">
        <v>282</v>
      </c>
      <c r="C25" s="42" t="n">
        <f aca="false">Inputs!$D$50*Inputs!$D$51*(1+Inputs!$D$52)/1000000</f>
        <v>0.432</v>
      </c>
      <c r="D25" s="7" t="s">
        <v>76</v>
      </c>
    </row>
    <row r="26" customFormat="false" ht="15" hidden="false" customHeight="false" outlineLevel="0" collapsed="false">
      <c r="B26" s="7" t="s">
        <v>283</v>
      </c>
      <c r="C26" s="42" t="n">
        <f aca="false">'Defence detail'!$K$14</f>
        <v>1.22098656</v>
      </c>
      <c r="D26" s="7" t="s">
        <v>76</v>
      </c>
    </row>
    <row r="27" customFormat="false" ht="15" hidden="false" customHeight="false" outlineLevel="0" collapsed="false">
      <c r="B27" s="7" t="s">
        <v>284</v>
      </c>
      <c r="C27" s="42" t="n">
        <f aca="false">'Product supply'!$G$5</f>
        <v>6</v>
      </c>
      <c r="D27" s="7" t="s">
        <v>76</v>
      </c>
    </row>
    <row r="28" customFormat="false" ht="15" hidden="false" customHeight="false" outlineLevel="0" collapsed="false">
      <c r="B28" s="7" t="s">
        <v>285</v>
      </c>
      <c r="C28" s="20" t="n">
        <f aca="false">Inputs!$D$46/Inputs!$D$47</f>
        <v>27.9428571428571</v>
      </c>
      <c r="D28" s="7" t="s">
        <v>76</v>
      </c>
    </row>
    <row r="29" customFormat="false" ht="15" hidden="false" customHeight="false" outlineLevel="0" collapsed="false">
      <c r="B29" s="7" t="s">
        <v>286</v>
      </c>
      <c r="C29" s="42" t="n">
        <f aca="false">C28*(1+Inputs!$D$48)</f>
        <v>30.7371428571429</v>
      </c>
      <c r="D29" s="7" t="s">
        <v>76</v>
      </c>
    </row>
    <row r="32" customFormat="false" ht="15" hidden="false" customHeight="false" outlineLevel="0" collapsed="false">
      <c r="B32" s="18" t="s">
        <v>287</v>
      </c>
    </row>
    <row r="33" customFormat="false" ht="31.5" hidden="false" customHeight="true" outlineLevel="0" collapsed="false">
      <c r="B33" s="5" t="s">
        <v>288</v>
      </c>
      <c r="C33" s="5" t="s">
        <v>242</v>
      </c>
      <c r="D33" s="5" t="s">
        <v>244</v>
      </c>
      <c r="E33" s="5" t="s">
        <v>245</v>
      </c>
      <c r="F33" s="5" t="s">
        <v>246</v>
      </c>
      <c r="G33" s="5" t="s">
        <v>247</v>
      </c>
      <c r="H33" s="5" t="s">
        <v>248</v>
      </c>
      <c r="I33" s="5" t="s">
        <v>249</v>
      </c>
      <c r="J33" s="5" t="s">
        <v>250</v>
      </c>
      <c r="K33" s="5" t="s">
        <v>251</v>
      </c>
      <c r="L33" s="5" t="s">
        <v>252</v>
      </c>
      <c r="M33" s="5" t="s">
        <v>36</v>
      </c>
      <c r="N33" s="5" t="s">
        <v>289</v>
      </c>
      <c r="O33" s="5" t="s">
        <v>290</v>
      </c>
    </row>
    <row r="34" customFormat="false" ht="15" hidden="false" customHeight="false" outlineLevel="0" collapsed="false">
      <c r="B34" s="7" t="s">
        <v>15</v>
      </c>
      <c r="C34" s="43" t="n">
        <v>0</v>
      </c>
      <c r="D34" s="43" t="n">
        <v>0.05</v>
      </c>
      <c r="E34" s="43" t="n">
        <v>0.2</v>
      </c>
      <c r="F34" s="43" t="n">
        <v>0.51</v>
      </c>
      <c r="G34" s="43" t="n">
        <v>0</v>
      </c>
      <c r="H34" s="43" t="n">
        <v>0</v>
      </c>
      <c r="I34" s="43" t="n">
        <v>0</v>
      </c>
      <c r="J34" s="43" t="n">
        <v>0.15</v>
      </c>
      <c r="K34" s="43" t="n">
        <v>0</v>
      </c>
      <c r="L34" s="43" t="n">
        <v>0.08</v>
      </c>
      <c r="M34" s="43" t="n">
        <v>0.01</v>
      </c>
      <c r="N34" s="23" t="n">
        <f aca="false">SUM(C34:M34)</f>
        <v>1</v>
      </c>
      <c r="O34" s="19" t="n">
        <f aca="false">$C$10</f>
        <v>127.9607875</v>
      </c>
    </row>
    <row r="35" customFormat="false" ht="15" hidden="false" customHeight="false" outlineLevel="0" collapsed="false">
      <c r="B35" s="7" t="s">
        <v>291</v>
      </c>
      <c r="C35" s="43" t="n">
        <v>0</v>
      </c>
      <c r="D35" s="43" t="n">
        <v>0.25</v>
      </c>
      <c r="E35" s="43" t="n">
        <v>0.2</v>
      </c>
      <c r="F35" s="43" t="n">
        <v>0.31</v>
      </c>
      <c r="G35" s="43" t="n">
        <v>0</v>
      </c>
      <c r="H35" s="43" t="n">
        <v>0</v>
      </c>
      <c r="I35" s="43" t="n">
        <v>0</v>
      </c>
      <c r="J35" s="43" t="n">
        <v>0.15</v>
      </c>
      <c r="K35" s="43" t="n">
        <v>0</v>
      </c>
      <c r="L35" s="43" t="n">
        <v>0.08</v>
      </c>
      <c r="M35" s="43" t="n">
        <v>0.01</v>
      </c>
      <c r="N35" s="23" t="n">
        <f aca="false">SUM(C35:M35)</f>
        <v>1</v>
      </c>
      <c r="O35" s="19" t="n">
        <f aca="false">$C$11</f>
        <v>15.84375</v>
      </c>
    </row>
    <row r="36" customFormat="false" ht="15" hidden="false" customHeight="false" outlineLevel="0" collapsed="false">
      <c r="B36" s="7" t="s">
        <v>292</v>
      </c>
      <c r="C36" s="43" t="n">
        <v>0</v>
      </c>
      <c r="D36" s="43" t="n">
        <v>0.15</v>
      </c>
      <c r="E36" s="43" t="n">
        <v>0.2</v>
      </c>
      <c r="F36" s="43" t="n">
        <v>0.41</v>
      </c>
      <c r="G36" s="43" t="n">
        <v>0</v>
      </c>
      <c r="H36" s="43" t="n">
        <v>0</v>
      </c>
      <c r="I36" s="43" t="n">
        <v>0</v>
      </c>
      <c r="J36" s="43" t="n">
        <v>0.15</v>
      </c>
      <c r="K36" s="43" t="n">
        <v>0</v>
      </c>
      <c r="L36" s="43" t="n">
        <v>0.08</v>
      </c>
      <c r="M36" s="43" t="n">
        <v>0.01</v>
      </c>
      <c r="N36" s="23" t="n">
        <f aca="false">SUM(C36:M36)</f>
        <v>1</v>
      </c>
      <c r="O36" s="19" t="n">
        <f aca="false">$C$12</f>
        <v>3.25</v>
      </c>
    </row>
    <row r="37" customFormat="false" ht="15" hidden="false" customHeight="false" outlineLevel="0" collapsed="false">
      <c r="B37" s="7" t="s">
        <v>293</v>
      </c>
      <c r="C37" s="43" t="n">
        <v>0</v>
      </c>
      <c r="D37" s="43" t="n">
        <v>0.8997</v>
      </c>
      <c r="E37" s="43" t="n">
        <v>0</v>
      </c>
      <c r="F37" s="43" t="n">
        <v>0</v>
      </c>
      <c r="G37" s="43" t="n">
        <v>0</v>
      </c>
      <c r="H37" s="43" t="n">
        <v>0</v>
      </c>
      <c r="I37" s="43" t="n">
        <v>0</v>
      </c>
      <c r="J37" s="43" t="n">
        <v>0.0671</v>
      </c>
      <c r="K37" s="43" t="n">
        <v>0</v>
      </c>
      <c r="L37" s="43" t="n">
        <v>0.011</v>
      </c>
      <c r="M37" s="43" t="n">
        <v>0.0222</v>
      </c>
      <c r="N37" s="23" t="n">
        <f aca="false">SUM(C37:M37)</f>
        <v>1</v>
      </c>
      <c r="O37" s="19" t="n">
        <f aca="false">$C$14</f>
        <v>24.8830659536542</v>
      </c>
    </row>
    <row r="38" customFormat="false" ht="15" hidden="false" customHeight="false" outlineLevel="0" collapsed="false">
      <c r="B38" s="7" t="s">
        <v>294</v>
      </c>
      <c r="C38" s="43" t="n">
        <v>0</v>
      </c>
      <c r="D38" s="43" t="n">
        <v>1</v>
      </c>
      <c r="E38" s="43" t="n">
        <v>0</v>
      </c>
      <c r="F38" s="43" t="n">
        <v>0</v>
      </c>
      <c r="G38" s="43" t="n">
        <v>0</v>
      </c>
      <c r="H38" s="43" t="n">
        <v>0</v>
      </c>
      <c r="I38" s="43" t="n">
        <v>0</v>
      </c>
      <c r="J38" s="43" t="n">
        <v>0</v>
      </c>
      <c r="K38" s="43" t="n">
        <v>0</v>
      </c>
      <c r="L38" s="43" t="n">
        <v>0</v>
      </c>
      <c r="M38" s="43" t="n">
        <v>0</v>
      </c>
      <c r="N38" s="23" t="n">
        <f aca="false">SUM(C38:M38)</f>
        <v>1</v>
      </c>
      <c r="O38" s="19" t="n">
        <f aca="false">$C$15</f>
        <v>0.1</v>
      </c>
    </row>
    <row r="39" customFormat="false" ht="15" hidden="false" customHeight="false" outlineLevel="0" collapsed="false">
      <c r="B39" s="7" t="s">
        <v>295</v>
      </c>
      <c r="C39" s="43" t="n">
        <v>0</v>
      </c>
      <c r="D39" s="43" t="n">
        <v>0</v>
      </c>
      <c r="E39" s="43" t="n">
        <v>0</v>
      </c>
      <c r="F39" s="43" t="n">
        <v>0</v>
      </c>
      <c r="G39" s="43" t="n">
        <v>0</v>
      </c>
      <c r="H39" s="43" t="n">
        <v>0</v>
      </c>
      <c r="I39" s="43" t="n">
        <v>1</v>
      </c>
      <c r="J39" s="43" t="n">
        <v>0</v>
      </c>
      <c r="K39" s="43" t="n">
        <v>0</v>
      </c>
      <c r="L39" s="43" t="n">
        <v>0</v>
      </c>
      <c r="M39" s="43" t="n">
        <v>0</v>
      </c>
      <c r="N39" s="23" t="n">
        <f aca="false">SUM(C39:M39)</f>
        <v>1</v>
      </c>
      <c r="O39" s="19" t="n">
        <f aca="false">$C$16</f>
        <v>11.8424340724631</v>
      </c>
    </row>
    <row r="40" customFormat="false" ht="15" hidden="false" customHeight="false" outlineLevel="0" collapsed="false">
      <c r="B40" s="7" t="s">
        <v>17</v>
      </c>
      <c r="C40" s="43" t="n">
        <v>0</v>
      </c>
      <c r="D40" s="43" t="n">
        <v>0.15</v>
      </c>
      <c r="E40" s="43" t="n">
        <v>0.275</v>
      </c>
      <c r="F40" s="43" t="n">
        <v>0.4</v>
      </c>
      <c r="G40" s="43" t="n">
        <v>0</v>
      </c>
      <c r="H40" s="43" t="n">
        <v>0</v>
      </c>
      <c r="I40" s="43" t="n">
        <v>0</v>
      </c>
      <c r="J40" s="43" t="n">
        <v>0.1</v>
      </c>
      <c r="K40" s="43" t="n">
        <v>0</v>
      </c>
      <c r="L40" s="43" t="n">
        <v>0.05</v>
      </c>
      <c r="M40" s="43" t="n">
        <v>0.025</v>
      </c>
      <c r="N40" s="23" t="n">
        <f aca="false">SUM(C40:M40)</f>
        <v>1</v>
      </c>
      <c r="O40" s="19" t="n">
        <f aca="false">$C$18</f>
        <v>58.80576</v>
      </c>
    </row>
    <row r="41" customFormat="false" ht="15" hidden="false" customHeight="false" outlineLevel="0" collapsed="false">
      <c r="B41" s="7" t="s">
        <v>296</v>
      </c>
      <c r="C41" s="43" t="n">
        <v>0</v>
      </c>
      <c r="D41" s="43" t="n">
        <v>0.1</v>
      </c>
      <c r="E41" s="43" t="n">
        <v>0.1</v>
      </c>
      <c r="F41" s="43" t="n">
        <v>0.75</v>
      </c>
      <c r="G41" s="43" t="n">
        <v>0</v>
      </c>
      <c r="H41" s="43" t="n">
        <v>0</v>
      </c>
      <c r="I41" s="43" t="n">
        <v>0</v>
      </c>
      <c r="J41" s="43" t="n">
        <v>0.05</v>
      </c>
      <c r="K41" s="43" t="n">
        <v>0</v>
      </c>
      <c r="L41" s="43" t="n">
        <v>0</v>
      </c>
      <c r="M41" s="43" t="n">
        <v>0</v>
      </c>
      <c r="N41" s="23" t="n">
        <f aca="false">SUM(C41:M41)</f>
        <v>1</v>
      </c>
      <c r="O41" s="19" t="n">
        <f aca="false">$C$20</f>
        <v>10.078125</v>
      </c>
    </row>
    <row r="42" customFormat="false" ht="15" hidden="false" customHeight="false" outlineLevel="0" collapsed="false">
      <c r="B42" s="7" t="s">
        <v>297</v>
      </c>
      <c r="C42" s="43" t="n">
        <v>0</v>
      </c>
      <c r="D42" s="43" t="n">
        <v>0.8</v>
      </c>
      <c r="E42" s="43" t="n">
        <v>0</v>
      </c>
      <c r="F42" s="43" t="n">
        <v>0</v>
      </c>
      <c r="G42" s="43" t="n">
        <v>0</v>
      </c>
      <c r="H42" s="43" t="n">
        <v>0</v>
      </c>
      <c r="I42" s="43" t="n">
        <v>0</v>
      </c>
      <c r="J42" s="43" t="n">
        <v>0.2</v>
      </c>
      <c r="K42" s="43" t="n">
        <v>0</v>
      </c>
      <c r="L42" s="43" t="n">
        <v>0</v>
      </c>
      <c r="M42" s="43" t="n">
        <v>0</v>
      </c>
      <c r="N42" s="23" t="n">
        <f aca="false">SUM(C42:M42)</f>
        <v>1</v>
      </c>
      <c r="O42" s="19" t="n">
        <f aca="false">$C$22</f>
        <v>14.2578947368421</v>
      </c>
    </row>
    <row r="43" customFormat="false" ht="15" hidden="false" customHeight="false" outlineLevel="0" collapsed="false">
      <c r="B43" s="7" t="s">
        <v>298</v>
      </c>
      <c r="C43" s="43" t="n">
        <v>0</v>
      </c>
      <c r="D43" s="43" t="n">
        <v>0</v>
      </c>
      <c r="E43" s="43" t="n">
        <v>0</v>
      </c>
      <c r="F43" s="43" t="n">
        <v>0</v>
      </c>
      <c r="G43" s="43" t="n">
        <v>1</v>
      </c>
      <c r="H43" s="43" t="n">
        <v>0</v>
      </c>
      <c r="I43" s="43" t="n">
        <v>0</v>
      </c>
      <c r="J43" s="43" t="n">
        <v>0</v>
      </c>
      <c r="K43" s="43" t="n">
        <v>0</v>
      </c>
      <c r="L43" s="43" t="n">
        <v>0</v>
      </c>
      <c r="M43" s="43" t="n">
        <v>0</v>
      </c>
      <c r="N43" s="23" t="n">
        <f aca="false">SUM(C43:M43)</f>
        <v>1</v>
      </c>
      <c r="O43" s="19" t="n">
        <f aca="false">$C$23</f>
        <v>10.42576199154</v>
      </c>
    </row>
    <row r="44" customFormat="false" ht="15" hidden="false" customHeight="false" outlineLevel="0" collapsed="false">
      <c r="B44" s="7" t="s">
        <v>299</v>
      </c>
      <c r="C44" s="43" t="n">
        <v>0</v>
      </c>
      <c r="D44" s="43" t="n">
        <v>0</v>
      </c>
      <c r="E44" s="43" t="n">
        <v>0</v>
      </c>
      <c r="F44" s="43" t="n">
        <v>0</v>
      </c>
      <c r="G44" s="43" t="n">
        <v>0</v>
      </c>
      <c r="H44" s="43" t="n">
        <v>0</v>
      </c>
      <c r="I44" s="43" t="n">
        <v>0</v>
      </c>
      <c r="J44" s="43" t="n">
        <v>0</v>
      </c>
      <c r="K44" s="43" t="n">
        <v>0</v>
      </c>
      <c r="L44" s="43" t="n">
        <v>1</v>
      </c>
      <c r="M44" s="43" t="n">
        <v>0</v>
      </c>
      <c r="N44" s="23" t="n">
        <f aca="false">SUM(C44:M44)</f>
        <v>1</v>
      </c>
      <c r="O44" s="19" t="n">
        <f aca="false">$C$24</f>
        <v>38.5</v>
      </c>
    </row>
    <row r="45" customFormat="false" ht="15" hidden="false" customHeight="false" outlineLevel="0" collapsed="false">
      <c r="B45" s="7" t="s">
        <v>300</v>
      </c>
      <c r="C45" s="43" t="n">
        <v>0</v>
      </c>
      <c r="D45" s="43" t="n">
        <v>0</v>
      </c>
      <c r="E45" s="43" t="n">
        <v>0</v>
      </c>
      <c r="F45" s="43" t="n">
        <v>0</v>
      </c>
      <c r="G45" s="43" t="n">
        <v>0</v>
      </c>
      <c r="H45" s="43" t="n">
        <v>0</v>
      </c>
      <c r="I45" s="43" t="n">
        <v>0</v>
      </c>
      <c r="J45" s="43" t="n">
        <v>0.1</v>
      </c>
      <c r="K45" s="43" t="n">
        <v>0</v>
      </c>
      <c r="L45" s="43" t="n">
        <v>0.9</v>
      </c>
      <c r="M45" s="43" t="n">
        <v>0</v>
      </c>
      <c r="N45" s="23" t="n">
        <f aca="false">SUM(C45:M45)</f>
        <v>1</v>
      </c>
      <c r="O45" s="19" t="n">
        <f aca="false">$C$29</f>
        <v>30.7371428571429</v>
      </c>
    </row>
    <row r="46" customFormat="false" ht="15" hidden="false" customHeight="false" outlineLevel="0" collapsed="false">
      <c r="B46" s="7" t="s">
        <v>301</v>
      </c>
      <c r="C46" s="43" t="n">
        <v>0</v>
      </c>
      <c r="D46" s="43" t="n">
        <v>0.75</v>
      </c>
      <c r="E46" s="43" t="n">
        <v>0.05</v>
      </c>
      <c r="F46" s="43" t="n">
        <v>0</v>
      </c>
      <c r="G46" s="43" t="n">
        <v>0</v>
      </c>
      <c r="H46" s="43" t="n">
        <v>0.2</v>
      </c>
      <c r="I46" s="43" t="n">
        <v>0</v>
      </c>
      <c r="J46" s="43" t="n">
        <v>0</v>
      </c>
      <c r="K46" s="43" t="n">
        <v>0</v>
      </c>
      <c r="L46" s="43" t="n">
        <v>0</v>
      </c>
      <c r="M46" s="43" t="n">
        <v>0</v>
      </c>
      <c r="N46" s="23" t="n">
        <f aca="false">SUM(C46:M46)</f>
        <v>1</v>
      </c>
      <c r="O46" s="19" t="n">
        <f aca="false">$C$25</f>
        <v>0.432</v>
      </c>
    </row>
    <row r="47" customFormat="false" ht="15" hidden="false" customHeight="false" outlineLevel="0" collapsed="false">
      <c r="B47" s="7" t="s">
        <v>302</v>
      </c>
      <c r="C47" s="44" t="n">
        <f aca="false">'Defence detail'!$C$46/'Defence detail'!$K$14</f>
        <v>0</v>
      </c>
      <c r="D47" s="44" t="n">
        <f aca="false">'Defence detail'!$D$46/'Defence detail'!$K$14</f>
        <v>0.490974249544565</v>
      </c>
      <c r="E47" s="44" t="n">
        <f aca="false">'Defence detail'!$E$46/'Defence detail'!$K$14</f>
        <v>0.0480086070726282</v>
      </c>
      <c r="F47" s="44" t="n">
        <f aca="false">'Defence detail'!$F$46/'Defence detail'!$K$14</f>
        <v>0.0166856873510549</v>
      </c>
      <c r="G47" s="44" t="n">
        <f aca="false">'Defence detail'!$G$46/'Defence detail'!$K$14</f>
        <v>0</v>
      </c>
      <c r="H47" s="44" t="n">
        <f aca="false">'Defence detail'!$H$46/'Defence detail'!$K$14</f>
        <v>0</v>
      </c>
      <c r="I47" s="44" t="n">
        <f aca="false">'Defence detail'!$I$46/'Defence detail'!$K$14</f>
        <v>0</v>
      </c>
      <c r="J47" s="44" t="n">
        <f aca="false">'Defence detail'!$J$46/'Defence detail'!$K$14</f>
        <v>0.402487811168044</v>
      </c>
      <c r="K47" s="44" t="n">
        <f aca="false">'Defence detail'!$K$46/'Defence detail'!$K$14</f>
        <v>0</v>
      </c>
      <c r="L47" s="44" t="n">
        <f aca="false">'Defence detail'!$L$46/'Defence detail'!$K$14</f>
        <v>0</v>
      </c>
      <c r="M47" s="44" t="n">
        <f aca="false">'Defence detail'!$M$46/'Defence detail'!$K$14</f>
        <v>0.0418436448637076</v>
      </c>
      <c r="N47" s="23" t="n">
        <f aca="false">SUM(C47:M47)</f>
        <v>1</v>
      </c>
      <c r="O47" s="19" t="n">
        <f aca="false">$C$26</f>
        <v>1.22098656</v>
      </c>
    </row>
    <row r="48" customFormat="false" ht="15" hidden="false" customHeight="false" outlineLevel="0" collapsed="false">
      <c r="B48" s="7" t="s">
        <v>303</v>
      </c>
      <c r="C48" s="43" t="n">
        <v>1</v>
      </c>
      <c r="D48" s="43" t="n">
        <v>0</v>
      </c>
      <c r="E48" s="43" t="n">
        <v>0</v>
      </c>
      <c r="F48" s="43" t="n">
        <v>0</v>
      </c>
      <c r="G48" s="43" t="n">
        <v>0</v>
      </c>
      <c r="H48" s="43" t="n">
        <v>0</v>
      </c>
      <c r="I48" s="43" t="n">
        <v>0</v>
      </c>
      <c r="J48" s="43" t="n">
        <v>0</v>
      </c>
      <c r="K48" s="43" t="n">
        <v>0</v>
      </c>
      <c r="L48" s="43" t="n">
        <v>0</v>
      </c>
      <c r="M48" s="43" t="n">
        <v>0</v>
      </c>
      <c r="N48" s="23" t="n">
        <f aca="false">SUM(C48:M48)</f>
        <v>1</v>
      </c>
      <c r="O48" s="19" t="n">
        <f aca="false">$C$27</f>
        <v>6</v>
      </c>
    </row>
    <row r="49" customFormat="false" ht="15" hidden="false" customHeight="false" outlineLevel="0" collapsed="false">
      <c r="B49" s="3" t="s">
        <v>304</v>
      </c>
    </row>
    <row r="51" customFormat="false" ht="15" hidden="false" customHeight="false" outlineLevel="0" collapsed="false">
      <c r="B51" s="18" t="s">
        <v>305</v>
      </c>
    </row>
    <row r="52" customFormat="false" ht="31.5" hidden="false" customHeight="true" outlineLevel="0" collapsed="false">
      <c r="B52" s="5" t="s">
        <v>288</v>
      </c>
      <c r="C52" s="5" t="s">
        <v>242</v>
      </c>
      <c r="D52" s="5" t="s">
        <v>244</v>
      </c>
      <c r="E52" s="5" t="s">
        <v>245</v>
      </c>
      <c r="F52" s="5" t="s">
        <v>246</v>
      </c>
      <c r="G52" s="5" t="s">
        <v>247</v>
      </c>
      <c r="H52" s="5" t="s">
        <v>248</v>
      </c>
      <c r="I52" s="5" t="s">
        <v>249</v>
      </c>
      <c r="J52" s="5" t="s">
        <v>250</v>
      </c>
      <c r="K52" s="5" t="s">
        <v>251</v>
      </c>
      <c r="L52" s="5" t="s">
        <v>252</v>
      </c>
      <c r="M52" s="5" t="s">
        <v>36</v>
      </c>
      <c r="N52" s="5" t="s">
        <v>306</v>
      </c>
    </row>
    <row r="53" customFormat="false" ht="15" hidden="false" customHeight="false" outlineLevel="0" collapsed="false">
      <c r="B53" s="7" t="s">
        <v>15</v>
      </c>
      <c r="C53" s="19" t="n">
        <f aca="false">$O$34*C34</f>
        <v>0</v>
      </c>
      <c r="D53" s="19" t="n">
        <f aca="false">$O$34*D34</f>
        <v>6.398039375</v>
      </c>
      <c r="E53" s="19" t="n">
        <f aca="false">$O$34*E34</f>
        <v>25.5921575</v>
      </c>
      <c r="F53" s="19" t="n">
        <f aca="false">$O$34*F34</f>
        <v>65.260001625</v>
      </c>
      <c r="G53" s="19" t="n">
        <f aca="false">$O$34*G34</f>
        <v>0</v>
      </c>
      <c r="H53" s="19" t="n">
        <f aca="false">$O$34*H34</f>
        <v>0</v>
      </c>
      <c r="I53" s="19" t="n">
        <f aca="false">$O$34*I34</f>
        <v>0</v>
      </c>
      <c r="J53" s="19" t="n">
        <f aca="false">$O$34*J34</f>
        <v>19.194118125</v>
      </c>
      <c r="K53" s="19" t="n">
        <f aca="false">$O$34*K34</f>
        <v>0</v>
      </c>
      <c r="L53" s="19" t="n">
        <f aca="false">$O$34*L34</f>
        <v>10.236863</v>
      </c>
      <c r="M53" s="19" t="n">
        <f aca="false">$O$34*M34</f>
        <v>1.279607875</v>
      </c>
      <c r="N53" s="45" t="n">
        <f aca="false">SUM(C53:M53)</f>
        <v>127.9607875</v>
      </c>
    </row>
    <row r="54" customFormat="false" ht="15" hidden="false" customHeight="false" outlineLevel="0" collapsed="false">
      <c r="B54" s="7" t="s">
        <v>291</v>
      </c>
      <c r="C54" s="19" t="n">
        <f aca="false">$O$35*C35</f>
        <v>0</v>
      </c>
      <c r="D54" s="19" t="n">
        <f aca="false">$O$35*D35</f>
        <v>3.9609375</v>
      </c>
      <c r="E54" s="19" t="n">
        <f aca="false">$O$35*E35</f>
        <v>3.16875</v>
      </c>
      <c r="F54" s="19" t="n">
        <f aca="false">$O$35*F35</f>
        <v>4.9115625</v>
      </c>
      <c r="G54" s="19" t="n">
        <f aca="false">$O$35*G35</f>
        <v>0</v>
      </c>
      <c r="H54" s="19" t="n">
        <f aca="false">$O$35*H35</f>
        <v>0</v>
      </c>
      <c r="I54" s="19" t="n">
        <f aca="false">$O$35*I35</f>
        <v>0</v>
      </c>
      <c r="J54" s="19" t="n">
        <f aca="false">$O$35*J35</f>
        <v>2.3765625</v>
      </c>
      <c r="K54" s="19" t="n">
        <f aca="false">$O$35*K35</f>
        <v>0</v>
      </c>
      <c r="L54" s="19" t="n">
        <f aca="false">$O$35*L35</f>
        <v>1.2675</v>
      </c>
      <c r="M54" s="19" t="n">
        <f aca="false">$O$35*M35</f>
        <v>0.1584375</v>
      </c>
      <c r="N54" s="45" t="n">
        <f aca="false">SUM(C54:M54)</f>
        <v>15.84375</v>
      </c>
    </row>
    <row r="55" customFormat="false" ht="15" hidden="false" customHeight="false" outlineLevel="0" collapsed="false">
      <c r="B55" s="7" t="s">
        <v>292</v>
      </c>
      <c r="C55" s="19" t="n">
        <f aca="false">$O$36*C36</f>
        <v>0</v>
      </c>
      <c r="D55" s="19" t="n">
        <f aca="false">$O$36*D36</f>
        <v>0.4875</v>
      </c>
      <c r="E55" s="19" t="n">
        <f aca="false">$O$36*E36</f>
        <v>0.65</v>
      </c>
      <c r="F55" s="19" t="n">
        <f aca="false">$O$36*F36</f>
        <v>1.3325</v>
      </c>
      <c r="G55" s="19" t="n">
        <f aca="false">$O$36*G36</f>
        <v>0</v>
      </c>
      <c r="H55" s="19" t="n">
        <f aca="false">$O$36*H36</f>
        <v>0</v>
      </c>
      <c r="I55" s="19" t="n">
        <f aca="false">$O$36*I36</f>
        <v>0</v>
      </c>
      <c r="J55" s="19" t="n">
        <f aca="false">$O$36*J36</f>
        <v>0.4875</v>
      </c>
      <c r="K55" s="19" t="n">
        <f aca="false">$O$36*K36</f>
        <v>0</v>
      </c>
      <c r="L55" s="19" t="n">
        <f aca="false">$O$36*L36</f>
        <v>0.26</v>
      </c>
      <c r="M55" s="19" t="n">
        <f aca="false">$O$36*M36</f>
        <v>0.0325</v>
      </c>
      <c r="N55" s="45" t="n">
        <f aca="false">SUM(C55:M55)</f>
        <v>3.25</v>
      </c>
    </row>
    <row r="56" customFormat="false" ht="15" hidden="false" customHeight="false" outlineLevel="0" collapsed="false">
      <c r="B56" s="7" t="s">
        <v>293</v>
      </c>
      <c r="C56" s="19" t="n">
        <f aca="false">$O$37*C37</f>
        <v>0</v>
      </c>
      <c r="D56" s="19" t="n">
        <f aca="false">$O$37*D37</f>
        <v>22.3872944385027</v>
      </c>
      <c r="E56" s="19" t="n">
        <f aca="false">$O$37*E37</f>
        <v>0</v>
      </c>
      <c r="F56" s="19" t="n">
        <f aca="false">$O$37*F37</f>
        <v>0</v>
      </c>
      <c r="G56" s="19" t="n">
        <f aca="false">$O$37*G37</f>
        <v>0</v>
      </c>
      <c r="H56" s="19" t="n">
        <f aca="false">$O$37*H37</f>
        <v>0</v>
      </c>
      <c r="I56" s="19" t="n">
        <f aca="false">$O$37*I37</f>
        <v>0</v>
      </c>
      <c r="J56" s="19" t="n">
        <f aca="false">$O$37*J37</f>
        <v>1.6696537254902</v>
      </c>
      <c r="K56" s="19" t="n">
        <f aca="false">$O$37*K37</f>
        <v>0</v>
      </c>
      <c r="L56" s="19" t="n">
        <f aca="false">$O$37*L37</f>
        <v>0.273713725490196</v>
      </c>
      <c r="M56" s="19" t="n">
        <f aca="false">$O$37*M37</f>
        <v>0.552404064171123</v>
      </c>
      <c r="N56" s="45" t="n">
        <f aca="false">SUM(C56:M56)</f>
        <v>24.8830659536542</v>
      </c>
    </row>
    <row r="57" customFormat="false" ht="15" hidden="false" customHeight="false" outlineLevel="0" collapsed="false">
      <c r="B57" s="7" t="s">
        <v>294</v>
      </c>
      <c r="C57" s="19" t="n">
        <f aca="false">$O$38*C38</f>
        <v>0</v>
      </c>
      <c r="D57" s="19" t="n">
        <f aca="false">$O$38*D38</f>
        <v>0.1</v>
      </c>
      <c r="E57" s="19" t="n">
        <f aca="false">$O$38*E38</f>
        <v>0</v>
      </c>
      <c r="F57" s="19" t="n">
        <f aca="false">$O$38*F38</f>
        <v>0</v>
      </c>
      <c r="G57" s="19" t="n">
        <f aca="false">$O$38*G38</f>
        <v>0</v>
      </c>
      <c r="H57" s="19" t="n">
        <f aca="false">$O$38*H38</f>
        <v>0</v>
      </c>
      <c r="I57" s="19" t="n">
        <f aca="false">$O$38*I38</f>
        <v>0</v>
      </c>
      <c r="J57" s="19" t="n">
        <f aca="false">$O$38*J38</f>
        <v>0</v>
      </c>
      <c r="K57" s="19" t="n">
        <f aca="false">$O$38*K38</f>
        <v>0</v>
      </c>
      <c r="L57" s="19" t="n">
        <f aca="false">$O$38*L38</f>
        <v>0</v>
      </c>
      <c r="M57" s="19" t="n">
        <f aca="false">$O$38*M38</f>
        <v>0</v>
      </c>
      <c r="N57" s="45" t="n">
        <f aca="false">SUM(C57:M57)</f>
        <v>0.1</v>
      </c>
    </row>
    <row r="58" customFormat="false" ht="15" hidden="false" customHeight="false" outlineLevel="0" collapsed="false">
      <c r="B58" s="7" t="s">
        <v>295</v>
      </c>
      <c r="C58" s="19" t="n">
        <f aca="false">$O$39*C39</f>
        <v>0</v>
      </c>
      <c r="D58" s="19" t="n">
        <f aca="false">$O$39*D39</f>
        <v>0</v>
      </c>
      <c r="E58" s="19" t="n">
        <f aca="false">$O$39*E39</f>
        <v>0</v>
      </c>
      <c r="F58" s="19" t="n">
        <f aca="false">$O$39*F39</f>
        <v>0</v>
      </c>
      <c r="G58" s="19" t="n">
        <f aca="false">$O$39*G39</f>
        <v>0</v>
      </c>
      <c r="H58" s="19" t="n">
        <f aca="false">$O$39*H39</f>
        <v>0</v>
      </c>
      <c r="I58" s="19" t="n">
        <f aca="false">$O$39*I39</f>
        <v>11.8424340724631</v>
      </c>
      <c r="J58" s="19" t="n">
        <f aca="false">$O$39*J39</f>
        <v>0</v>
      </c>
      <c r="K58" s="19" t="n">
        <f aca="false">$O$39*K39</f>
        <v>0</v>
      </c>
      <c r="L58" s="19" t="n">
        <f aca="false">$O$39*L39</f>
        <v>0</v>
      </c>
      <c r="M58" s="19" t="n">
        <f aca="false">$O$39*M39</f>
        <v>0</v>
      </c>
      <c r="N58" s="45" t="n">
        <f aca="false">SUM(C58:M58)</f>
        <v>11.8424340724631</v>
      </c>
    </row>
    <row r="59" customFormat="false" ht="15" hidden="false" customHeight="false" outlineLevel="0" collapsed="false">
      <c r="B59" s="7" t="s">
        <v>17</v>
      </c>
      <c r="C59" s="19" t="n">
        <f aca="false">$O$40*C40</f>
        <v>0</v>
      </c>
      <c r="D59" s="19" t="n">
        <f aca="false">$O$40*D40</f>
        <v>8.820864</v>
      </c>
      <c r="E59" s="19" t="n">
        <f aca="false">$O$40*E40</f>
        <v>16.171584</v>
      </c>
      <c r="F59" s="19" t="n">
        <f aca="false">$O$40*F40</f>
        <v>23.522304</v>
      </c>
      <c r="G59" s="19" t="n">
        <f aca="false">$O$40*G40</f>
        <v>0</v>
      </c>
      <c r="H59" s="19" t="n">
        <f aca="false">$O$40*H40</f>
        <v>0</v>
      </c>
      <c r="I59" s="19" t="n">
        <f aca="false">$O$40*I40</f>
        <v>0</v>
      </c>
      <c r="J59" s="19" t="n">
        <f aca="false">$O$40*J40</f>
        <v>5.880576</v>
      </c>
      <c r="K59" s="19" t="n">
        <f aca="false">$O$40*K40</f>
        <v>0</v>
      </c>
      <c r="L59" s="19" t="n">
        <f aca="false">$O$40*L40</f>
        <v>2.940288</v>
      </c>
      <c r="M59" s="19" t="n">
        <f aca="false">$O$40*M40</f>
        <v>1.470144</v>
      </c>
      <c r="N59" s="45" t="n">
        <f aca="false">SUM(C59:M59)</f>
        <v>58.80576</v>
      </c>
    </row>
    <row r="60" customFormat="false" ht="15" hidden="false" customHeight="false" outlineLevel="0" collapsed="false">
      <c r="B60" s="7" t="s">
        <v>296</v>
      </c>
      <c r="C60" s="19" t="n">
        <f aca="false">$O$41*C41</f>
        <v>0</v>
      </c>
      <c r="D60" s="19" t="n">
        <f aca="false">$O$41*D41</f>
        <v>1.0078125</v>
      </c>
      <c r="E60" s="19" t="n">
        <f aca="false">$O$41*E41</f>
        <v>1.0078125</v>
      </c>
      <c r="F60" s="19" t="n">
        <f aca="false">$O$41*F41</f>
        <v>7.55859375</v>
      </c>
      <c r="G60" s="19" t="n">
        <f aca="false">$O$41*G41</f>
        <v>0</v>
      </c>
      <c r="H60" s="19" t="n">
        <f aca="false">$O$41*H41</f>
        <v>0</v>
      </c>
      <c r="I60" s="19" t="n">
        <f aca="false">$O$41*I41</f>
        <v>0</v>
      </c>
      <c r="J60" s="19" t="n">
        <f aca="false">$O$41*J41</f>
        <v>0.50390625</v>
      </c>
      <c r="K60" s="19" t="n">
        <f aca="false">$O$41*K41</f>
        <v>0</v>
      </c>
      <c r="L60" s="19" t="n">
        <f aca="false">$O$41*L41</f>
        <v>0</v>
      </c>
      <c r="M60" s="19" t="n">
        <f aca="false">$O$41*M41</f>
        <v>0</v>
      </c>
      <c r="N60" s="45" t="n">
        <f aca="false">SUM(C60:M60)</f>
        <v>10.078125</v>
      </c>
    </row>
    <row r="61" customFormat="false" ht="15" hidden="false" customHeight="false" outlineLevel="0" collapsed="false">
      <c r="B61" s="7" t="s">
        <v>297</v>
      </c>
      <c r="C61" s="19" t="n">
        <f aca="false">$O$42*C42</f>
        <v>0</v>
      </c>
      <c r="D61" s="19" t="n">
        <f aca="false">$O$42*D42</f>
        <v>11.4063157894737</v>
      </c>
      <c r="E61" s="19" t="n">
        <f aca="false">$O$42*E42</f>
        <v>0</v>
      </c>
      <c r="F61" s="19" t="n">
        <f aca="false">$O$42*F42</f>
        <v>0</v>
      </c>
      <c r="G61" s="19" t="n">
        <f aca="false">$O$42*G42</f>
        <v>0</v>
      </c>
      <c r="H61" s="19" t="n">
        <f aca="false">$O$42*H42</f>
        <v>0</v>
      </c>
      <c r="I61" s="19" t="n">
        <f aca="false">$O$42*I42</f>
        <v>0</v>
      </c>
      <c r="J61" s="19" t="n">
        <f aca="false">$O$42*J42</f>
        <v>2.85157894736842</v>
      </c>
      <c r="K61" s="19" t="n">
        <f aca="false">$O$42*K42</f>
        <v>0</v>
      </c>
      <c r="L61" s="19" t="n">
        <f aca="false">$O$42*L42</f>
        <v>0</v>
      </c>
      <c r="M61" s="19" t="n">
        <f aca="false">$O$42*M42</f>
        <v>0</v>
      </c>
      <c r="N61" s="45" t="n">
        <f aca="false">SUM(C61:M61)</f>
        <v>14.2578947368421</v>
      </c>
    </row>
    <row r="62" customFormat="false" ht="15" hidden="false" customHeight="false" outlineLevel="0" collapsed="false">
      <c r="B62" s="7" t="s">
        <v>298</v>
      </c>
      <c r="C62" s="19" t="n">
        <f aca="false">$O$43*C43</f>
        <v>0</v>
      </c>
      <c r="D62" s="19" t="n">
        <f aca="false">$O$43*D43</f>
        <v>0</v>
      </c>
      <c r="E62" s="19" t="n">
        <f aca="false">$O$43*E43</f>
        <v>0</v>
      </c>
      <c r="F62" s="19" t="n">
        <f aca="false">$O$43*F43</f>
        <v>0</v>
      </c>
      <c r="G62" s="19" t="n">
        <f aca="false">$O$43*G43</f>
        <v>10.42576199154</v>
      </c>
      <c r="H62" s="19" t="n">
        <f aca="false">$O$43*H43</f>
        <v>0</v>
      </c>
      <c r="I62" s="19" t="n">
        <f aca="false">$O$43*I43</f>
        <v>0</v>
      </c>
      <c r="J62" s="19" t="n">
        <f aca="false">$O$43*J43</f>
        <v>0</v>
      </c>
      <c r="K62" s="19" t="n">
        <f aca="false">$O$43*K43</f>
        <v>0</v>
      </c>
      <c r="L62" s="19" t="n">
        <f aca="false">$O$43*L43</f>
        <v>0</v>
      </c>
      <c r="M62" s="19" t="n">
        <f aca="false">$O$43*M43</f>
        <v>0</v>
      </c>
      <c r="N62" s="45" t="n">
        <f aca="false">SUM(C62:M62)</f>
        <v>10.42576199154</v>
      </c>
    </row>
    <row r="63" customFormat="false" ht="15" hidden="false" customHeight="false" outlineLevel="0" collapsed="false">
      <c r="B63" s="7" t="s">
        <v>299</v>
      </c>
      <c r="C63" s="19" t="n">
        <f aca="false">$O$44*C44</f>
        <v>0</v>
      </c>
      <c r="D63" s="19" t="n">
        <f aca="false">$O$44*D44</f>
        <v>0</v>
      </c>
      <c r="E63" s="19" t="n">
        <f aca="false">$O$44*E44</f>
        <v>0</v>
      </c>
      <c r="F63" s="19" t="n">
        <f aca="false">$O$44*F44</f>
        <v>0</v>
      </c>
      <c r="G63" s="19" t="n">
        <f aca="false">$O$44*G44</f>
        <v>0</v>
      </c>
      <c r="H63" s="19" t="n">
        <f aca="false">$O$44*H44</f>
        <v>0</v>
      </c>
      <c r="I63" s="19" t="n">
        <f aca="false">$O$44*I44</f>
        <v>0</v>
      </c>
      <c r="J63" s="19" t="n">
        <f aca="false">$O$44*J44</f>
        <v>0</v>
      </c>
      <c r="K63" s="19" t="n">
        <f aca="false">$O$44*K44</f>
        <v>0</v>
      </c>
      <c r="L63" s="19" t="n">
        <f aca="false">$O$44*L44</f>
        <v>38.5</v>
      </c>
      <c r="M63" s="19" t="n">
        <f aca="false">$O$44*M44</f>
        <v>0</v>
      </c>
      <c r="N63" s="45" t="n">
        <f aca="false">SUM(C63:M63)</f>
        <v>38.5</v>
      </c>
    </row>
    <row r="64" customFormat="false" ht="15" hidden="false" customHeight="false" outlineLevel="0" collapsed="false">
      <c r="B64" s="7" t="s">
        <v>300</v>
      </c>
      <c r="C64" s="19" t="n">
        <f aca="false">$O$45*C45</f>
        <v>0</v>
      </c>
      <c r="D64" s="19" t="n">
        <f aca="false">$O$45*D45</f>
        <v>0</v>
      </c>
      <c r="E64" s="19" t="n">
        <f aca="false">$O$45*E45</f>
        <v>0</v>
      </c>
      <c r="F64" s="19" t="n">
        <f aca="false">$O$45*F45</f>
        <v>0</v>
      </c>
      <c r="G64" s="19" t="n">
        <f aca="false">$O$45*G45</f>
        <v>0</v>
      </c>
      <c r="H64" s="19" t="n">
        <f aca="false">$O$45*H45</f>
        <v>0</v>
      </c>
      <c r="I64" s="19" t="n">
        <f aca="false">$O$45*I45</f>
        <v>0</v>
      </c>
      <c r="J64" s="19" t="n">
        <f aca="false">$O$45*J45</f>
        <v>3.07371428571429</v>
      </c>
      <c r="K64" s="19" t="n">
        <f aca="false">$O$45*K45</f>
        <v>0</v>
      </c>
      <c r="L64" s="19" t="n">
        <f aca="false">$O$45*L45</f>
        <v>27.6634285714286</v>
      </c>
      <c r="M64" s="19" t="n">
        <f aca="false">$O$45*M45</f>
        <v>0</v>
      </c>
      <c r="N64" s="45" t="n">
        <f aca="false">SUM(C64:M64)</f>
        <v>30.7371428571429</v>
      </c>
    </row>
    <row r="65" customFormat="false" ht="15" hidden="false" customHeight="false" outlineLevel="0" collapsed="false">
      <c r="B65" s="7" t="s">
        <v>301</v>
      </c>
      <c r="C65" s="19" t="n">
        <f aca="false">$O$46*C46</f>
        <v>0</v>
      </c>
      <c r="D65" s="19" t="n">
        <f aca="false">$O$46*D46</f>
        <v>0.324</v>
      </c>
      <c r="E65" s="19" t="n">
        <f aca="false">$O$46*E46</f>
        <v>0.0216</v>
      </c>
      <c r="F65" s="19" t="n">
        <f aca="false">$O$46*F46</f>
        <v>0</v>
      </c>
      <c r="G65" s="19" t="n">
        <f aca="false">$O$46*G46</f>
        <v>0</v>
      </c>
      <c r="H65" s="19" t="n">
        <f aca="false">$O$46*H46</f>
        <v>0.0864</v>
      </c>
      <c r="I65" s="19" t="n">
        <f aca="false">$O$46*I46</f>
        <v>0</v>
      </c>
      <c r="J65" s="19" t="n">
        <f aca="false">$O$46*J46</f>
        <v>0</v>
      </c>
      <c r="K65" s="19" t="n">
        <f aca="false">$O$46*K46</f>
        <v>0</v>
      </c>
      <c r="L65" s="19" t="n">
        <f aca="false">$O$46*L46</f>
        <v>0</v>
      </c>
      <c r="M65" s="19" t="n">
        <f aca="false">$O$46*M46</f>
        <v>0</v>
      </c>
      <c r="N65" s="45" t="n">
        <f aca="false">SUM(C65:M65)</f>
        <v>0.432</v>
      </c>
    </row>
    <row r="66" customFormat="false" ht="15" hidden="false" customHeight="false" outlineLevel="0" collapsed="false">
      <c r="B66" s="7" t="s">
        <v>302</v>
      </c>
      <c r="C66" s="19" t="n">
        <f aca="false">$O$47*C47</f>
        <v>0</v>
      </c>
      <c r="D66" s="19" t="n">
        <f aca="false">$O$47*D47</f>
        <v>0.59947296</v>
      </c>
      <c r="E66" s="19" t="n">
        <f aca="false">$O$47*E47</f>
        <v>0.058617864</v>
      </c>
      <c r="F66" s="19" t="n">
        <f aca="false">$O$47*F47</f>
        <v>0.020373</v>
      </c>
      <c r="G66" s="19" t="n">
        <f aca="false">$O$47*G47</f>
        <v>0</v>
      </c>
      <c r="H66" s="19" t="n">
        <f aca="false">$O$47*H47</f>
        <v>0</v>
      </c>
      <c r="I66" s="19" t="n">
        <f aca="false">$O$47*I47</f>
        <v>0</v>
      </c>
      <c r="J66" s="19" t="n">
        <f aca="false">$O$47*J47</f>
        <v>0.491432208</v>
      </c>
      <c r="K66" s="19" t="n">
        <f aca="false">$O$47*K47</f>
        <v>0</v>
      </c>
      <c r="L66" s="19" t="n">
        <f aca="false">$O$47*L47</f>
        <v>0</v>
      </c>
      <c r="M66" s="19" t="n">
        <f aca="false">$O$47*M47</f>
        <v>0.051090528</v>
      </c>
      <c r="N66" s="45" t="n">
        <f aca="false">SUM(C66:M66)</f>
        <v>1.22098656</v>
      </c>
    </row>
    <row r="67" customFormat="false" ht="15" hidden="false" customHeight="false" outlineLevel="0" collapsed="false">
      <c r="B67" s="7" t="s">
        <v>303</v>
      </c>
      <c r="C67" s="19" t="n">
        <f aca="false">$O$48*C48</f>
        <v>6</v>
      </c>
      <c r="D67" s="19" t="n">
        <f aca="false">$O$48*D48</f>
        <v>0</v>
      </c>
      <c r="E67" s="19" t="n">
        <f aca="false">$O$48*E48</f>
        <v>0</v>
      </c>
      <c r="F67" s="19" t="n">
        <f aca="false">$O$48*F48</f>
        <v>0</v>
      </c>
      <c r="G67" s="19" t="n">
        <f aca="false">$O$48*G48</f>
        <v>0</v>
      </c>
      <c r="H67" s="19" t="n">
        <f aca="false">$O$48*H48</f>
        <v>0</v>
      </c>
      <c r="I67" s="19" t="n">
        <f aca="false">$O$48*I48</f>
        <v>0</v>
      </c>
      <c r="J67" s="19" t="n">
        <f aca="false">$O$48*J48</f>
        <v>0</v>
      </c>
      <c r="K67" s="19" t="n">
        <f aca="false">$O$48*K48</f>
        <v>0</v>
      </c>
      <c r="L67" s="19" t="n">
        <f aca="false">$O$48*L48</f>
        <v>0</v>
      </c>
      <c r="M67" s="19" t="n">
        <f aca="false">$O$48*M48</f>
        <v>0</v>
      </c>
      <c r="N67" s="45" t="n">
        <f aca="false">SUM(C67:M67)</f>
        <v>6</v>
      </c>
    </row>
    <row r="68" customFormat="false" ht="15" hidden="false" customHeight="false" outlineLevel="0" collapsed="false">
      <c r="B68" s="13" t="s">
        <v>307</v>
      </c>
      <c r="C68" s="38" t="n">
        <f aca="false">SUM(C53:C67)</f>
        <v>6</v>
      </c>
      <c r="D68" s="38" t="n">
        <f aca="false">SUM(D53:D67)</f>
        <v>55.4922365629764</v>
      </c>
      <c r="E68" s="38" t="n">
        <f aca="false">SUM(E53:E67)</f>
        <v>46.670521864</v>
      </c>
      <c r="F68" s="38" t="n">
        <f aca="false">SUM(F53:F67)</f>
        <v>102.605334875</v>
      </c>
      <c r="G68" s="38" t="n">
        <f aca="false">SUM(G53:G67)</f>
        <v>10.42576199154</v>
      </c>
      <c r="H68" s="38" t="n">
        <f aca="false">SUM(H53:H67)</f>
        <v>0.0864</v>
      </c>
      <c r="I68" s="38" t="n">
        <f aca="false">SUM(I53:I67)</f>
        <v>11.8424340724631</v>
      </c>
      <c r="J68" s="38" t="n">
        <f aca="false">SUM(J53:J67)</f>
        <v>36.5290420415729</v>
      </c>
      <c r="K68" s="38" t="n">
        <f aca="false">SUM(K53:K67)</f>
        <v>0</v>
      </c>
      <c r="L68" s="38" t="n">
        <f aca="false">SUM(L53:L67)</f>
        <v>81.1417932969188</v>
      </c>
      <c r="M68" s="38" t="n">
        <f aca="false">SUM(M53:M67)</f>
        <v>3.54418396717112</v>
      </c>
      <c r="N68" s="38" t="n">
        <f aca="false">SUM(N53:N67)</f>
        <v>354.337708671642</v>
      </c>
    </row>
  </sheetData>
  <mergeCells count="2">
    <mergeCell ref="B2:N2"/>
    <mergeCell ref="B3:O3"/>
  </mergeCells>
  <hyperlinks>
    <hyperlink ref="B1" r:id="rId1" display="BOTTOM-UP SECTOR ESTIMATES, 2025"/>
    <hyperlink ref="N1" r:id="rId2" display="2025 demand data"/>
    <hyperlink ref="O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O4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34"/>
    <col collapsed="false" customWidth="true" hidden="false" outlineLevel="0" max="3" min="3" style="0" width="14"/>
    <col collapsed="false" customWidth="true" hidden="false" outlineLevel="0" max="4" min="4" style="0" width="13"/>
    <col collapsed="false" customWidth="true" hidden="false" outlineLevel="0" max="5" min="5" style="0" width="15"/>
    <col collapsed="false" customWidth="true" hidden="false" outlineLevel="0" max="6" min="6" style="0" width="11"/>
    <col collapsed="false" customWidth="true" hidden="false" outlineLevel="0" max="7" min="7" style="0" width="10"/>
    <col collapsed="false" customWidth="true" hidden="false" outlineLevel="0" max="8" min="8" style="0" width="12"/>
    <col collapsed="false" customWidth="true" hidden="false" outlineLevel="0" max="9" min="9" style="0" width="10"/>
    <col collapsed="false" customWidth="true" hidden="false" outlineLevel="0" max="11" min="10" style="0" width="11"/>
    <col collapsed="false" customWidth="true" hidden="false" outlineLevel="0" max="13" min="12" style="0" width="10.51"/>
    <col collapsed="false" customWidth="true" hidden="false" outlineLevel="0" max="14" min="14" style="0" width="11"/>
    <col collapsed="false" customWidth="true" hidden="false" outlineLevel="0" max="15" min="15" style="0" width="70"/>
  </cols>
  <sheetData>
    <row r="1" customFormat="false" ht="20.25" hidden="false" customHeight="true" outlineLevel="0" collapsed="false">
      <c r="B1" s="1" t="s">
        <v>308</v>
      </c>
      <c r="N1" s="2" t="s">
        <v>1</v>
      </c>
      <c r="O1" s="2" t="s">
        <v>2</v>
      </c>
    </row>
    <row r="2" customFormat="false" ht="29.25" hidden="false" customHeight="true" outlineLevel="0" collapsed="false">
      <c r="B2" s="17" t="s">
        <v>309</v>
      </c>
      <c r="C2" s="17"/>
      <c r="D2" s="17"/>
      <c r="E2" s="17"/>
      <c r="F2" s="17"/>
      <c r="G2" s="17"/>
      <c r="H2" s="17"/>
      <c r="I2" s="17"/>
      <c r="J2" s="17"/>
      <c r="K2" s="17"/>
      <c r="L2" s="17"/>
      <c r="M2" s="17"/>
      <c r="N2" s="17"/>
    </row>
    <row r="3" customFormat="false" ht="41.25" hidden="false" customHeight="true" outlineLevel="0" collapsed="false">
      <c r="B3" s="4" t="s">
        <v>4</v>
      </c>
      <c r="C3" s="4"/>
      <c r="D3" s="4"/>
      <c r="E3" s="4"/>
      <c r="F3" s="4"/>
      <c r="G3" s="4"/>
      <c r="H3" s="4"/>
      <c r="I3" s="4"/>
      <c r="J3" s="4"/>
      <c r="K3" s="4"/>
      <c r="L3" s="4"/>
      <c r="M3" s="4"/>
      <c r="N3" s="4"/>
      <c r="O3" s="4"/>
    </row>
    <row r="4" customFormat="false" ht="15" hidden="false" customHeight="false" outlineLevel="0" collapsed="false">
      <c r="B4" s="18" t="s">
        <v>310</v>
      </c>
    </row>
    <row r="5" customFormat="false" ht="39.75" hidden="false" customHeight="true" outlineLevel="0" collapsed="false">
      <c r="B5" s="5" t="s">
        <v>311</v>
      </c>
      <c r="C5" s="5" t="s">
        <v>312</v>
      </c>
      <c r="D5" s="5" t="s">
        <v>313</v>
      </c>
      <c r="E5" s="5" t="s">
        <v>69</v>
      </c>
      <c r="F5" s="5" t="s">
        <v>314</v>
      </c>
      <c r="G5" s="5" t="s">
        <v>315</v>
      </c>
      <c r="H5" s="5" t="s">
        <v>316</v>
      </c>
      <c r="I5" s="5" t="s">
        <v>317</v>
      </c>
      <c r="J5" s="5" t="s">
        <v>318</v>
      </c>
      <c r="K5" s="5" t="s">
        <v>72</v>
      </c>
      <c r="O5" s="5" t="s">
        <v>319</v>
      </c>
    </row>
    <row r="6" customFormat="false" ht="39.75" hidden="false" customHeight="true" outlineLevel="0" collapsed="false">
      <c r="B6" s="7" t="s">
        <v>320</v>
      </c>
      <c r="C6" s="7" t="s">
        <v>321</v>
      </c>
      <c r="D6" s="46" t="n">
        <v>62748</v>
      </c>
      <c r="E6" s="7" t="s">
        <v>218</v>
      </c>
      <c r="F6" s="47" t="n">
        <v>55</v>
      </c>
      <c r="G6" s="48" t="n">
        <f aca="false">Inputs!$D$55</f>
        <v>25</v>
      </c>
      <c r="H6" s="41" t="n">
        <f aca="false">D6/G6</f>
        <v>2509.92</v>
      </c>
      <c r="I6" s="49" t="n">
        <f aca="false">Inputs!$D$56</f>
        <v>0.2</v>
      </c>
      <c r="J6" s="50" t="n">
        <f aca="false">H6*F6*(1+I6)/1000</f>
        <v>165.65472</v>
      </c>
      <c r="K6" s="3" t="s">
        <v>322</v>
      </c>
      <c r="O6" s="29" t="s">
        <v>323</v>
      </c>
    </row>
    <row r="7" customFormat="false" ht="39.75" hidden="false" customHeight="true" outlineLevel="0" collapsed="false">
      <c r="B7" s="7" t="s">
        <v>324</v>
      </c>
      <c r="C7" s="7" t="s">
        <v>321</v>
      </c>
      <c r="D7" s="46" t="n">
        <v>400000</v>
      </c>
      <c r="E7" s="7" t="s">
        <v>218</v>
      </c>
      <c r="F7" s="47" t="n">
        <v>10</v>
      </c>
      <c r="G7" s="48" t="n">
        <f aca="false">Inputs!$D$55</f>
        <v>25</v>
      </c>
      <c r="H7" s="41" t="n">
        <f aca="false">D7/G7</f>
        <v>16000</v>
      </c>
      <c r="I7" s="49" t="n">
        <f aca="false">Inputs!$D$56</f>
        <v>0.2</v>
      </c>
      <c r="J7" s="50" t="n">
        <f aca="false">H7*F7*(1+I7)/1000</f>
        <v>192</v>
      </c>
      <c r="K7" s="3" t="s">
        <v>325</v>
      </c>
      <c r="O7" s="29" t="s">
        <v>326</v>
      </c>
    </row>
    <row r="8" customFormat="false" ht="39.75" hidden="false" customHeight="true" outlineLevel="0" collapsed="false">
      <c r="B8" s="7" t="s">
        <v>327</v>
      </c>
      <c r="C8" s="7" t="s">
        <v>321</v>
      </c>
      <c r="D8" s="46" t="n">
        <v>20964</v>
      </c>
      <c r="E8" s="7" t="s">
        <v>218</v>
      </c>
      <c r="F8" s="47" t="n">
        <v>30</v>
      </c>
      <c r="G8" s="48" t="n">
        <f aca="false">Inputs!$D$55</f>
        <v>25</v>
      </c>
      <c r="H8" s="41" t="n">
        <f aca="false">D8/G8</f>
        <v>838.56</v>
      </c>
      <c r="I8" s="49" t="n">
        <f aca="false">Inputs!$D$56</f>
        <v>0.2</v>
      </c>
      <c r="J8" s="50" t="n">
        <f aca="false">H8*F8*(1+I8)/1000</f>
        <v>30.18816</v>
      </c>
      <c r="K8" s="3" t="s">
        <v>328</v>
      </c>
      <c r="O8" s="29" t="s">
        <v>329</v>
      </c>
    </row>
    <row r="9" customFormat="false" ht="39.75" hidden="false" customHeight="true" outlineLevel="0" collapsed="false">
      <c r="B9" s="7" t="s">
        <v>330</v>
      </c>
      <c r="C9" s="7" t="s">
        <v>321</v>
      </c>
      <c r="D9" s="46" t="n">
        <v>36832</v>
      </c>
      <c r="E9" s="7" t="s">
        <v>218</v>
      </c>
      <c r="F9" s="47" t="n">
        <v>5</v>
      </c>
      <c r="G9" s="48" t="n">
        <f aca="false">Inputs!$D$55</f>
        <v>25</v>
      </c>
      <c r="H9" s="41" t="n">
        <f aca="false">D9/G9</f>
        <v>1473.28</v>
      </c>
      <c r="I9" s="49" t="n">
        <f aca="false">Inputs!$D$56</f>
        <v>0.2</v>
      </c>
      <c r="J9" s="50" t="n">
        <f aca="false">H9*F9*(1+I9)/1000</f>
        <v>8.83968</v>
      </c>
      <c r="K9" s="3" t="s">
        <v>331</v>
      </c>
      <c r="O9" s="29" t="s">
        <v>332</v>
      </c>
    </row>
    <row r="10" customFormat="false" ht="39.75" hidden="false" customHeight="true" outlineLevel="0" collapsed="false">
      <c r="B10" s="7" t="s">
        <v>333</v>
      </c>
      <c r="C10" s="7" t="s">
        <v>321</v>
      </c>
      <c r="D10" s="46" t="n">
        <v>22000</v>
      </c>
      <c r="E10" s="7" t="s">
        <v>218</v>
      </c>
      <c r="F10" s="47" t="n">
        <v>10</v>
      </c>
      <c r="G10" s="48" t="n">
        <f aca="false">Inputs!$D$55</f>
        <v>25</v>
      </c>
      <c r="H10" s="41" t="n">
        <f aca="false">D10/G10</f>
        <v>880</v>
      </c>
      <c r="I10" s="49" t="n">
        <f aca="false">Inputs!$D$56</f>
        <v>0.2</v>
      </c>
      <c r="J10" s="50" t="n">
        <f aca="false">H10*F10*(1+I10)/1000</f>
        <v>10.56</v>
      </c>
      <c r="K10" s="3" t="s">
        <v>114</v>
      </c>
      <c r="O10" s="29" t="s">
        <v>334</v>
      </c>
    </row>
    <row r="11" customFormat="false" ht="39.75" hidden="false" customHeight="true" outlineLevel="0" collapsed="false">
      <c r="B11" s="7" t="s">
        <v>335</v>
      </c>
      <c r="C11" s="7" t="s">
        <v>321</v>
      </c>
      <c r="D11" s="46" t="n">
        <v>52000</v>
      </c>
      <c r="E11" s="7" t="s">
        <v>218</v>
      </c>
      <c r="F11" s="47" t="n">
        <v>1.5</v>
      </c>
      <c r="G11" s="48" t="n">
        <f aca="false">Inputs!$D$55</f>
        <v>25</v>
      </c>
      <c r="H11" s="41" t="n">
        <f aca="false">D11/G11</f>
        <v>2080</v>
      </c>
      <c r="I11" s="49" t="n">
        <f aca="false">Inputs!$D$56</f>
        <v>0.2</v>
      </c>
      <c r="J11" s="50" t="n">
        <f aca="false">H11*F11*(1+I11)/1000</f>
        <v>3.744</v>
      </c>
      <c r="K11" s="3" t="s">
        <v>336</v>
      </c>
      <c r="O11" s="29" t="s">
        <v>337</v>
      </c>
    </row>
    <row r="12" customFormat="false" ht="39.75" hidden="false" customHeight="true" outlineLevel="0" collapsed="false">
      <c r="B12" s="7" t="s">
        <v>338</v>
      </c>
      <c r="C12" s="7" t="s">
        <v>339</v>
      </c>
      <c r="D12" s="46" t="n">
        <v>735000</v>
      </c>
      <c r="E12" s="7" t="s">
        <v>340</v>
      </c>
      <c r="F12" s="51" t="n">
        <v>0.45</v>
      </c>
      <c r="G12" s="3" t="s">
        <v>341</v>
      </c>
      <c r="H12" s="41" t="n">
        <f aca="false">D12</f>
        <v>735000</v>
      </c>
      <c r="I12" s="49" t="n">
        <f aca="false">Inputs!$D$56</f>
        <v>0.2</v>
      </c>
      <c r="J12" s="50" t="n">
        <f aca="false">H12*F12*(1+I12)/1000</f>
        <v>396.9</v>
      </c>
      <c r="K12" s="3" t="s">
        <v>342</v>
      </c>
      <c r="O12" s="29" t="s">
        <v>343</v>
      </c>
    </row>
    <row r="13" customFormat="false" ht="39.75" hidden="false" customHeight="true" outlineLevel="0" collapsed="false">
      <c r="B13" s="7" t="s">
        <v>344</v>
      </c>
      <c r="C13" s="7" t="s">
        <v>339</v>
      </c>
      <c r="D13" s="41" t="n">
        <f aca="false">SUM(C19:C22)*1000000</f>
        <v>8500000</v>
      </c>
      <c r="E13" s="7" t="s">
        <v>345</v>
      </c>
      <c r="F13" s="51" t="n">
        <v>0.036</v>
      </c>
      <c r="G13" s="3" t="s">
        <v>341</v>
      </c>
      <c r="H13" s="41" t="n">
        <f aca="false">D13</f>
        <v>8500000</v>
      </c>
      <c r="I13" s="52" t="n">
        <v>0.35</v>
      </c>
      <c r="J13" s="50" t="n">
        <f aca="false">H13*F13*(1+I13)/1000</f>
        <v>413.1</v>
      </c>
      <c r="K13" s="3" t="s">
        <v>346</v>
      </c>
      <c r="O13" s="29" t="s">
        <v>347</v>
      </c>
    </row>
    <row r="14" customFormat="false" ht="15" hidden="false" customHeight="false" outlineLevel="0" collapsed="false">
      <c r="B14" s="13" t="s">
        <v>348</v>
      </c>
      <c r="C14" s="37"/>
      <c r="D14" s="37"/>
      <c r="E14" s="37"/>
      <c r="F14" s="37"/>
      <c r="G14" s="37"/>
      <c r="H14" s="37"/>
      <c r="I14" s="13" t="s">
        <v>349</v>
      </c>
      <c r="J14" s="53" t="n">
        <f aca="false">SUM(J6:J13)</f>
        <v>1220.98656</v>
      </c>
      <c r="K14" s="54" t="n">
        <f aca="false">J14/1000</f>
        <v>1.22098656</v>
      </c>
      <c r="L14" s="37"/>
      <c r="M14" s="37"/>
      <c r="N14" s="37"/>
      <c r="O14" s="37"/>
    </row>
    <row r="17" customFormat="false" ht="15" hidden="false" customHeight="false" outlineLevel="0" collapsed="false">
      <c r="B17" s="18" t="s">
        <v>350</v>
      </c>
    </row>
    <row r="18" customFormat="false" ht="19.5" hidden="false" customHeight="true" outlineLevel="0" collapsed="false">
      <c r="B18" s="5" t="s">
        <v>351</v>
      </c>
      <c r="C18" s="5" t="s">
        <v>352</v>
      </c>
      <c r="D18" s="5" t="s">
        <v>72</v>
      </c>
      <c r="E18" s="5" t="s">
        <v>319</v>
      </c>
    </row>
    <row r="19" customFormat="false" ht="15" hidden="false" customHeight="false" outlineLevel="0" collapsed="false">
      <c r="B19" s="7" t="s">
        <v>353</v>
      </c>
      <c r="C19" s="55" t="n">
        <v>4.5</v>
      </c>
      <c r="D19" s="3" t="s">
        <v>354</v>
      </c>
      <c r="E19" s="56" t="s">
        <v>355</v>
      </c>
      <c r="F19" s="56"/>
      <c r="G19" s="56"/>
      <c r="H19" s="56"/>
      <c r="I19" s="56"/>
      <c r="J19" s="56"/>
      <c r="K19" s="56"/>
    </row>
    <row r="20" customFormat="false" ht="15" hidden="false" customHeight="false" outlineLevel="0" collapsed="false">
      <c r="B20" s="7" t="s">
        <v>356</v>
      </c>
      <c r="C20" s="55" t="n">
        <v>0.5</v>
      </c>
      <c r="D20" s="3" t="s">
        <v>354</v>
      </c>
      <c r="E20" s="56" t="s">
        <v>357</v>
      </c>
      <c r="F20" s="56"/>
      <c r="G20" s="56"/>
      <c r="H20" s="56"/>
      <c r="I20" s="56"/>
      <c r="J20" s="56"/>
      <c r="K20" s="56"/>
    </row>
    <row r="21" customFormat="false" ht="15" hidden="false" customHeight="false" outlineLevel="0" collapsed="false">
      <c r="B21" s="7" t="s">
        <v>358</v>
      </c>
      <c r="C21" s="55" t="n">
        <v>1.5</v>
      </c>
      <c r="D21" s="3" t="s">
        <v>354</v>
      </c>
      <c r="E21" s="56" t="s">
        <v>359</v>
      </c>
      <c r="F21" s="56"/>
      <c r="G21" s="56"/>
      <c r="H21" s="56"/>
      <c r="I21" s="56"/>
      <c r="J21" s="56"/>
      <c r="K21" s="56"/>
    </row>
    <row r="22" customFormat="false" ht="15" hidden="false" customHeight="false" outlineLevel="0" collapsed="false">
      <c r="B22" s="7" t="s">
        <v>360</v>
      </c>
      <c r="C22" s="55" t="n">
        <v>2</v>
      </c>
      <c r="D22" s="3" t="s">
        <v>114</v>
      </c>
      <c r="E22" s="56" t="s">
        <v>361</v>
      </c>
      <c r="F22" s="56"/>
      <c r="G22" s="56"/>
      <c r="H22" s="56"/>
      <c r="I22" s="56"/>
      <c r="J22" s="56"/>
      <c r="K22" s="56"/>
    </row>
    <row r="23" customFormat="false" ht="15" hidden="false" customHeight="false" outlineLevel="0" collapsed="false">
      <c r="B23" s="13" t="s">
        <v>22</v>
      </c>
      <c r="C23" s="57" t="n">
        <f aca="false">SUM(C19:C22)</f>
        <v>8.5</v>
      </c>
      <c r="D23" s="37"/>
      <c r="E23" s="37"/>
    </row>
    <row r="25" customFormat="false" ht="15" hidden="false" customHeight="false" outlineLevel="0" collapsed="false">
      <c r="B25" s="18" t="s">
        <v>362</v>
      </c>
    </row>
    <row r="26" customFormat="false" ht="31.5" hidden="false" customHeight="true" outlineLevel="0" collapsed="false">
      <c r="B26" s="5" t="s">
        <v>311</v>
      </c>
      <c r="C26" s="5" t="s">
        <v>242</v>
      </c>
      <c r="D26" s="5" t="s">
        <v>244</v>
      </c>
      <c r="E26" s="5" t="s">
        <v>245</v>
      </c>
      <c r="F26" s="5" t="s">
        <v>246</v>
      </c>
      <c r="G26" s="5" t="s">
        <v>247</v>
      </c>
      <c r="H26" s="5" t="s">
        <v>248</v>
      </c>
      <c r="I26" s="5" t="s">
        <v>249</v>
      </c>
      <c r="J26" s="5" t="s">
        <v>250</v>
      </c>
      <c r="K26" s="5" t="s">
        <v>251</v>
      </c>
      <c r="L26" s="5" t="s">
        <v>252</v>
      </c>
      <c r="M26" s="5" t="s">
        <v>36</v>
      </c>
      <c r="N26" s="5" t="s">
        <v>289</v>
      </c>
    </row>
    <row r="27" customFormat="false" ht="15" hidden="false" customHeight="false" outlineLevel="0" collapsed="false">
      <c r="B27" s="7" t="s">
        <v>320</v>
      </c>
      <c r="C27" s="43" t="n">
        <v>0</v>
      </c>
      <c r="D27" s="43" t="n">
        <v>0.75</v>
      </c>
      <c r="E27" s="43" t="n">
        <v>0.1</v>
      </c>
      <c r="F27" s="43" t="n">
        <v>0</v>
      </c>
      <c r="G27" s="43" t="n">
        <v>0</v>
      </c>
      <c r="H27" s="43" t="n">
        <v>0</v>
      </c>
      <c r="I27" s="43" t="n">
        <v>0</v>
      </c>
      <c r="J27" s="43" t="n">
        <v>0.1</v>
      </c>
      <c r="K27" s="43" t="n">
        <v>0</v>
      </c>
      <c r="L27" s="43" t="n">
        <v>0</v>
      </c>
      <c r="M27" s="43" t="n">
        <v>0.05</v>
      </c>
      <c r="N27" s="23" t="n">
        <f aca="false">SUM(C27:M27)</f>
        <v>1</v>
      </c>
    </row>
    <row r="28" customFormat="false" ht="15" hidden="false" customHeight="false" outlineLevel="0" collapsed="false">
      <c r="B28" s="7" t="s">
        <v>324</v>
      </c>
      <c r="C28" s="43" t="n">
        <v>0</v>
      </c>
      <c r="D28" s="43" t="n">
        <v>0.85</v>
      </c>
      <c r="E28" s="43" t="n">
        <v>0.1</v>
      </c>
      <c r="F28" s="43" t="n">
        <v>0</v>
      </c>
      <c r="G28" s="43" t="n">
        <v>0</v>
      </c>
      <c r="H28" s="43" t="n">
        <v>0</v>
      </c>
      <c r="I28" s="43" t="n">
        <v>0</v>
      </c>
      <c r="J28" s="43" t="n">
        <v>0.05</v>
      </c>
      <c r="K28" s="43" t="n">
        <v>0</v>
      </c>
      <c r="L28" s="43" t="n">
        <v>0</v>
      </c>
      <c r="M28" s="43" t="n">
        <v>0</v>
      </c>
      <c r="N28" s="23" t="n">
        <f aca="false">SUM(C28:M28)</f>
        <v>1</v>
      </c>
    </row>
    <row r="29" customFormat="false" ht="15" hidden="false" customHeight="false" outlineLevel="0" collapsed="false">
      <c r="B29" s="7" t="s">
        <v>327</v>
      </c>
      <c r="C29" s="43" t="n">
        <v>0</v>
      </c>
      <c r="D29" s="43" t="n">
        <v>0.7</v>
      </c>
      <c r="E29" s="43" t="n">
        <v>0.05</v>
      </c>
      <c r="F29" s="43" t="n">
        <v>0</v>
      </c>
      <c r="G29" s="43" t="n">
        <v>0</v>
      </c>
      <c r="H29" s="43" t="n">
        <v>0</v>
      </c>
      <c r="I29" s="43" t="n">
        <v>0</v>
      </c>
      <c r="J29" s="43" t="n">
        <v>0.2</v>
      </c>
      <c r="K29" s="43" t="n">
        <v>0</v>
      </c>
      <c r="L29" s="43" t="n">
        <v>0</v>
      </c>
      <c r="M29" s="43" t="n">
        <v>0.05</v>
      </c>
      <c r="N29" s="23" t="n">
        <f aca="false">SUM(C29:M29)</f>
        <v>1</v>
      </c>
    </row>
    <row r="30" customFormat="false" ht="15" hidden="false" customHeight="false" outlineLevel="0" collapsed="false">
      <c r="B30" s="7" t="s">
        <v>330</v>
      </c>
      <c r="C30" s="43" t="n">
        <v>0</v>
      </c>
      <c r="D30" s="43" t="n">
        <v>0.6</v>
      </c>
      <c r="E30" s="43" t="n">
        <v>0.05</v>
      </c>
      <c r="F30" s="43" t="n">
        <v>0</v>
      </c>
      <c r="G30" s="43" t="n">
        <v>0</v>
      </c>
      <c r="H30" s="43" t="n">
        <v>0</v>
      </c>
      <c r="I30" s="43" t="n">
        <v>0</v>
      </c>
      <c r="J30" s="43" t="n">
        <v>0.3</v>
      </c>
      <c r="K30" s="43" t="n">
        <v>0</v>
      </c>
      <c r="L30" s="43" t="n">
        <v>0</v>
      </c>
      <c r="M30" s="43" t="n">
        <v>0.05</v>
      </c>
      <c r="N30" s="23" t="n">
        <f aca="false">SUM(C30:M30)</f>
        <v>1</v>
      </c>
    </row>
    <row r="31" customFormat="false" ht="15" hidden="false" customHeight="false" outlineLevel="0" collapsed="false">
      <c r="B31" s="7" t="s">
        <v>333</v>
      </c>
      <c r="C31" s="43" t="n">
        <v>0</v>
      </c>
      <c r="D31" s="43" t="n">
        <v>0.7</v>
      </c>
      <c r="E31" s="43" t="n">
        <v>0.1</v>
      </c>
      <c r="F31" s="43" t="n">
        <v>0.05</v>
      </c>
      <c r="G31" s="43" t="n">
        <v>0</v>
      </c>
      <c r="H31" s="43" t="n">
        <v>0</v>
      </c>
      <c r="I31" s="43" t="n">
        <v>0</v>
      </c>
      <c r="J31" s="43" t="n">
        <v>0.075</v>
      </c>
      <c r="K31" s="43" t="n">
        <v>0</v>
      </c>
      <c r="L31" s="43" t="n">
        <v>0</v>
      </c>
      <c r="M31" s="43" t="n">
        <v>0.075</v>
      </c>
      <c r="N31" s="23" t="n">
        <f aca="false">SUM(C31:M31)</f>
        <v>1</v>
      </c>
    </row>
    <row r="32" customFormat="false" ht="15" hidden="false" customHeight="false" outlineLevel="0" collapsed="false">
      <c r="B32" s="7" t="s">
        <v>335</v>
      </c>
      <c r="C32" s="43" t="n">
        <v>0</v>
      </c>
      <c r="D32" s="43" t="n">
        <v>0.1</v>
      </c>
      <c r="E32" s="43" t="n">
        <v>0</v>
      </c>
      <c r="F32" s="43" t="n">
        <v>0</v>
      </c>
      <c r="G32" s="43" t="n">
        <v>0</v>
      </c>
      <c r="H32" s="43" t="n">
        <v>0</v>
      </c>
      <c r="I32" s="43" t="n">
        <v>0</v>
      </c>
      <c r="J32" s="43" t="n">
        <v>0.8</v>
      </c>
      <c r="K32" s="43" t="n">
        <v>0</v>
      </c>
      <c r="L32" s="43" t="n">
        <v>0</v>
      </c>
      <c r="M32" s="43" t="n">
        <v>0.1</v>
      </c>
      <c r="N32" s="23" t="n">
        <f aca="false">SUM(C32:M32)</f>
        <v>1</v>
      </c>
    </row>
    <row r="33" customFormat="false" ht="15" hidden="false" customHeight="false" outlineLevel="0" collapsed="false">
      <c r="B33" s="7" t="s">
        <v>338</v>
      </c>
      <c r="C33" s="43" t="n">
        <v>0</v>
      </c>
      <c r="D33" s="43" t="n">
        <v>0.7</v>
      </c>
      <c r="E33" s="43" t="n">
        <v>0.05</v>
      </c>
      <c r="F33" s="43" t="n">
        <v>0.05</v>
      </c>
      <c r="G33" s="43" t="n">
        <v>0</v>
      </c>
      <c r="H33" s="43" t="n">
        <v>0</v>
      </c>
      <c r="I33" s="43" t="n">
        <v>0</v>
      </c>
      <c r="J33" s="43" t="n">
        <v>0.1</v>
      </c>
      <c r="K33" s="43" t="n">
        <v>0</v>
      </c>
      <c r="L33" s="43" t="n">
        <v>0</v>
      </c>
      <c r="M33" s="43" t="n">
        <v>0.1</v>
      </c>
      <c r="N33" s="23" t="n">
        <f aca="false">SUM(C33:M33)</f>
        <v>1</v>
      </c>
    </row>
    <row r="34" customFormat="false" ht="15" hidden="false" customHeight="false" outlineLevel="0" collapsed="false">
      <c r="B34" s="7" t="s">
        <v>344</v>
      </c>
      <c r="C34" s="43" t="n">
        <v>0</v>
      </c>
      <c r="D34" s="43" t="n">
        <v>0</v>
      </c>
      <c r="E34" s="43" t="n">
        <v>0</v>
      </c>
      <c r="F34" s="43" t="n">
        <v>0</v>
      </c>
      <c r="G34" s="43" t="n">
        <v>0</v>
      </c>
      <c r="H34" s="43" t="n">
        <v>0</v>
      </c>
      <c r="I34" s="43" t="n">
        <v>0</v>
      </c>
      <c r="J34" s="43" t="n">
        <v>1</v>
      </c>
      <c r="K34" s="43" t="n">
        <v>0</v>
      </c>
      <c r="L34" s="43" t="n">
        <v>0</v>
      </c>
      <c r="M34" s="43" t="n">
        <v>0</v>
      </c>
      <c r="N34" s="23" t="n">
        <f aca="false">SUM(C34:M34)</f>
        <v>1</v>
      </c>
    </row>
    <row r="36" customFormat="false" ht="15" hidden="false" customHeight="false" outlineLevel="0" collapsed="false">
      <c r="B36" s="18" t="s">
        <v>363</v>
      </c>
    </row>
    <row r="37" customFormat="false" ht="31.5" hidden="false" customHeight="true" outlineLevel="0" collapsed="false">
      <c r="B37" s="5" t="s">
        <v>311</v>
      </c>
      <c r="C37" s="5" t="s">
        <v>242</v>
      </c>
      <c r="D37" s="5" t="s">
        <v>244</v>
      </c>
      <c r="E37" s="5" t="s">
        <v>245</v>
      </c>
      <c r="F37" s="5" t="s">
        <v>246</v>
      </c>
      <c r="G37" s="5" t="s">
        <v>247</v>
      </c>
      <c r="H37" s="5" t="s">
        <v>248</v>
      </c>
      <c r="I37" s="5" t="s">
        <v>249</v>
      </c>
      <c r="J37" s="5" t="s">
        <v>250</v>
      </c>
      <c r="K37" s="5" t="s">
        <v>251</v>
      </c>
      <c r="L37" s="5" t="s">
        <v>252</v>
      </c>
      <c r="M37" s="5" t="s">
        <v>36</v>
      </c>
      <c r="N37" s="5" t="s">
        <v>306</v>
      </c>
    </row>
    <row r="38" customFormat="false" ht="15" hidden="false" customHeight="false" outlineLevel="0" collapsed="false">
      <c r="B38" s="7" t="s">
        <v>320</v>
      </c>
      <c r="C38" s="20" t="n">
        <f aca="false">$J$6/1000*C27</f>
        <v>0</v>
      </c>
      <c r="D38" s="20" t="n">
        <f aca="false">$J$6/1000*D27</f>
        <v>0.12424104</v>
      </c>
      <c r="E38" s="20" t="n">
        <f aca="false">$J$6/1000*E27</f>
        <v>0.016565472</v>
      </c>
      <c r="F38" s="20" t="n">
        <f aca="false">$J$6/1000*F27</f>
        <v>0</v>
      </c>
      <c r="G38" s="20" t="n">
        <f aca="false">$J$6/1000*G27</f>
        <v>0</v>
      </c>
      <c r="H38" s="20" t="n">
        <f aca="false">$J$6/1000*H27</f>
        <v>0</v>
      </c>
      <c r="I38" s="20" t="n">
        <f aca="false">$J$6/1000*I27</f>
        <v>0</v>
      </c>
      <c r="J38" s="20" t="n">
        <f aca="false">$J$6/1000*J27</f>
        <v>0.016565472</v>
      </c>
      <c r="K38" s="20" t="n">
        <f aca="false">$J$6/1000*K27</f>
        <v>0</v>
      </c>
      <c r="L38" s="20" t="n">
        <f aca="false">$J$6/1000*L27</f>
        <v>0</v>
      </c>
      <c r="M38" s="20" t="n">
        <f aca="false">$J$6/1000*M27</f>
        <v>0.008282736</v>
      </c>
      <c r="N38" s="42" t="n">
        <f aca="false">SUM(C38:M38)</f>
        <v>0.16565472</v>
      </c>
    </row>
    <row r="39" customFormat="false" ht="15" hidden="false" customHeight="false" outlineLevel="0" collapsed="false">
      <c r="B39" s="7" t="s">
        <v>324</v>
      </c>
      <c r="C39" s="20" t="n">
        <f aca="false">$J$7/1000*C28</f>
        <v>0</v>
      </c>
      <c r="D39" s="20" t="n">
        <f aca="false">$J$7/1000*D28</f>
        <v>0.1632</v>
      </c>
      <c r="E39" s="20" t="n">
        <f aca="false">$J$7/1000*E28</f>
        <v>0.0192</v>
      </c>
      <c r="F39" s="20" t="n">
        <f aca="false">$J$7/1000*F28</f>
        <v>0</v>
      </c>
      <c r="G39" s="20" t="n">
        <f aca="false">$J$7/1000*G28</f>
        <v>0</v>
      </c>
      <c r="H39" s="20" t="n">
        <f aca="false">$J$7/1000*H28</f>
        <v>0</v>
      </c>
      <c r="I39" s="20" t="n">
        <f aca="false">$J$7/1000*I28</f>
        <v>0</v>
      </c>
      <c r="J39" s="20" t="n">
        <f aca="false">$J$7/1000*J28</f>
        <v>0.0096</v>
      </c>
      <c r="K39" s="20" t="n">
        <f aca="false">$J$7/1000*K28</f>
        <v>0</v>
      </c>
      <c r="L39" s="20" t="n">
        <f aca="false">$J$7/1000*L28</f>
        <v>0</v>
      </c>
      <c r="M39" s="20" t="n">
        <f aca="false">$J$7/1000*M28</f>
        <v>0</v>
      </c>
      <c r="N39" s="42" t="n">
        <f aca="false">SUM(C39:M39)</f>
        <v>0.192</v>
      </c>
    </row>
    <row r="40" customFormat="false" ht="15" hidden="false" customHeight="false" outlineLevel="0" collapsed="false">
      <c r="B40" s="7" t="s">
        <v>327</v>
      </c>
      <c r="C40" s="20" t="n">
        <f aca="false">$J$8/1000*C29</f>
        <v>0</v>
      </c>
      <c r="D40" s="20" t="n">
        <f aca="false">$J$8/1000*D29</f>
        <v>0.021131712</v>
      </c>
      <c r="E40" s="20" t="n">
        <f aca="false">$J$8/1000*E29</f>
        <v>0.001509408</v>
      </c>
      <c r="F40" s="20" t="n">
        <f aca="false">$J$8/1000*F29</f>
        <v>0</v>
      </c>
      <c r="G40" s="20" t="n">
        <f aca="false">$J$8/1000*G29</f>
        <v>0</v>
      </c>
      <c r="H40" s="20" t="n">
        <f aca="false">$J$8/1000*H29</f>
        <v>0</v>
      </c>
      <c r="I40" s="20" t="n">
        <f aca="false">$J$8/1000*I29</f>
        <v>0</v>
      </c>
      <c r="J40" s="20" t="n">
        <f aca="false">$J$8/1000*J29</f>
        <v>0.006037632</v>
      </c>
      <c r="K40" s="20" t="n">
        <f aca="false">$J$8/1000*K29</f>
        <v>0</v>
      </c>
      <c r="L40" s="20" t="n">
        <f aca="false">$J$8/1000*L29</f>
        <v>0</v>
      </c>
      <c r="M40" s="20" t="n">
        <f aca="false">$J$8/1000*M29</f>
        <v>0.001509408</v>
      </c>
      <c r="N40" s="42" t="n">
        <f aca="false">SUM(C40:M40)</f>
        <v>0.03018816</v>
      </c>
    </row>
    <row r="41" customFormat="false" ht="15" hidden="false" customHeight="false" outlineLevel="0" collapsed="false">
      <c r="B41" s="7" t="s">
        <v>330</v>
      </c>
      <c r="C41" s="20" t="n">
        <f aca="false">$J$9/1000*C30</f>
        <v>0</v>
      </c>
      <c r="D41" s="20" t="n">
        <f aca="false">$J$9/1000*D30</f>
        <v>0.005303808</v>
      </c>
      <c r="E41" s="20" t="n">
        <f aca="false">$J$9/1000*E30</f>
        <v>0.000441984</v>
      </c>
      <c r="F41" s="20" t="n">
        <f aca="false">$J$9/1000*F30</f>
        <v>0</v>
      </c>
      <c r="G41" s="20" t="n">
        <f aca="false">$J$9/1000*G30</f>
        <v>0</v>
      </c>
      <c r="H41" s="20" t="n">
        <f aca="false">$J$9/1000*H30</f>
        <v>0</v>
      </c>
      <c r="I41" s="20" t="n">
        <f aca="false">$J$9/1000*I30</f>
        <v>0</v>
      </c>
      <c r="J41" s="20" t="n">
        <f aca="false">$J$9/1000*J30</f>
        <v>0.002651904</v>
      </c>
      <c r="K41" s="20" t="n">
        <f aca="false">$J$9/1000*K30</f>
        <v>0</v>
      </c>
      <c r="L41" s="20" t="n">
        <f aca="false">$J$9/1000*L30</f>
        <v>0</v>
      </c>
      <c r="M41" s="20" t="n">
        <f aca="false">$J$9/1000*M30</f>
        <v>0.000441984</v>
      </c>
      <c r="N41" s="42" t="n">
        <f aca="false">SUM(C41:M41)</f>
        <v>0.00883968</v>
      </c>
    </row>
    <row r="42" customFormat="false" ht="15" hidden="false" customHeight="false" outlineLevel="0" collapsed="false">
      <c r="B42" s="7" t="s">
        <v>333</v>
      </c>
      <c r="C42" s="20" t="n">
        <f aca="false">$J$10/1000*C31</f>
        <v>0</v>
      </c>
      <c r="D42" s="20" t="n">
        <f aca="false">$J$10/1000*D31</f>
        <v>0.007392</v>
      </c>
      <c r="E42" s="20" t="n">
        <f aca="false">$J$10/1000*E31</f>
        <v>0.001056</v>
      </c>
      <c r="F42" s="20" t="n">
        <f aca="false">$J$10/1000*F31</f>
        <v>0.000528</v>
      </c>
      <c r="G42" s="20" t="n">
        <f aca="false">$J$10/1000*G31</f>
        <v>0</v>
      </c>
      <c r="H42" s="20" t="n">
        <f aca="false">$J$10/1000*H31</f>
        <v>0</v>
      </c>
      <c r="I42" s="20" t="n">
        <f aca="false">$J$10/1000*I31</f>
        <v>0</v>
      </c>
      <c r="J42" s="20" t="n">
        <f aca="false">$J$10/1000*J31</f>
        <v>0.000792</v>
      </c>
      <c r="K42" s="20" t="n">
        <f aca="false">$J$10/1000*K31</f>
        <v>0</v>
      </c>
      <c r="L42" s="20" t="n">
        <f aca="false">$J$10/1000*L31</f>
        <v>0</v>
      </c>
      <c r="M42" s="20" t="n">
        <f aca="false">$J$10/1000*M31</f>
        <v>0.000792</v>
      </c>
      <c r="N42" s="42" t="n">
        <f aca="false">SUM(C42:M42)</f>
        <v>0.01056</v>
      </c>
    </row>
    <row r="43" customFormat="false" ht="15" hidden="false" customHeight="false" outlineLevel="0" collapsed="false">
      <c r="B43" s="7" t="s">
        <v>335</v>
      </c>
      <c r="C43" s="20" t="n">
        <f aca="false">$J$11/1000*C32</f>
        <v>0</v>
      </c>
      <c r="D43" s="20" t="n">
        <f aca="false">$J$11/1000*D32</f>
        <v>0.0003744</v>
      </c>
      <c r="E43" s="20" t="n">
        <f aca="false">$J$11/1000*E32</f>
        <v>0</v>
      </c>
      <c r="F43" s="20" t="n">
        <f aca="false">$J$11/1000*F32</f>
        <v>0</v>
      </c>
      <c r="G43" s="20" t="n">
        <f aca="false">$J$11/1000*G32</f>
        <v>0</v>
      </c>
      <c r="H43" s="20" t="n">
        <f aca="false">$J$11/1000*H32</f>
        <v>0</v>
      </c>
      <c r="I43" s="20" t="n">
        <f aca="false">$J$11/1000*I32</f>
        <v>0</v>
      </c>
      <c r="J43" s="20" t="n">
        <f aca="false">$J$11/1000*J32</f>
        <v>0.0029952</v>
      </c>
      <c r="K43" s="20" t="n">
        <f aca="false">$J$11/1000*K32</f>
        <v>0</v>
      </c>
      <c r="L43" s="20" t="n">
        <f aca="false">$J$11/1000*L32</f>
        <v>0</v>
      </c>
      <c r="M43" s="20" t="n">
        <f aca="false">$J$11/1000*M32</f>
        <v>0.0003744</v>
      </c>
      <c r="N43" s="42" t="n">
        <f aca="false">SUM(C43:M43)</f>
        <v>0.003744</v>
      </c>
    </row>
    <row r="44" customFormat="false" ht="15" hidden="false" customHeight="false" outlineLevel="0" collapsed="false">
      <c r="B44" s="7" t="s">
        <v>338</v>
      </c>
      <c r="C44" s="20" t="n">
        <f aca="false">$J$12/1000*C33</f>
        <v>0</v>
      </c>
      <c r="D44" s="20" t="n">
        <f aca="false">$J$12/1000*D33</f>
        <v>0.27783</v>
      </c>
      <c r="E44" s="20" t="n">
        <f aca="false">$J$12/1000*E33</f>
        <v>0.019845</v>
      </c>
      <c r="F44" s="20" t="n">
        <f aca="false">$J$12/1000*F33</f>
        <v>0.019845</v>
      </c>
      <c r="G44" s="20" t="n">
        <f aca="false">$J$12/1000*G33</f>
        <v>0</v>
      </c>
      <c r="H44" s="20" t="n">
        <f aca="false">$J$12/1000*H33</f>
        <v>0</v>
      </c>
      <c r="I44" s="20" t="n">
        <f aca="false">$J$12/1000*I33</f>
        <v>0</v>
      </c>
      <c r="J44" s="20" t="n">
        <f aca="false">$J$12/1000*J33</f>
        <v>0.03969</v>
      </c>
      <c r="K44" s="20" t="n">
        <f aca="false">$J$12/1000*K33</f>
        <v>0</v>
      </c>
      <c r="L44" s="20" t="n">
        <f aca="false">$J$12/1000*L33</f>
        <v>0</v>
      </c>
      <c r="M44" s="20" t="n">
        <f aca="false">$J$12/1000*M33</f>
        <v>0.03969</v>
      </c>
      <c r="N44" s="42" t="n">
        <f aca="false">SUM(C44:M44)</f>
        <v>0.3969</v>
      </c>
    </row>
    <row r="45" customFormat="false" ht="15" hidden="false" customHeight="false" outlineLevel="0" collapsed="false">
      <c r="B45" s="7" t="s">
        <v>344</v>
      </c>
      <c r="C45" s="20" t="n">
        <f aca="false">$J$13/1000*C34</f>
        <v>0</v>
      </c>
      <c r="D45" s="20" t="n">
        <f aca="false">$J$13/1000*D34</f>
        <v>0</v>
      </c>
      <c r="E45" s="20" t="n">
        <f aca="false">$J$13/1000*E34</f>
        <v>0</v>
      </c>
      <c r="F45" s="20" t="n">
        <f aca="false">$J$13/1000*F34</f>
        <v>0</v>
      </c>
      <c r="G45" s="20" t="n">
        <f aca="false">$J$13/1000*G34</f>
        <v>0</v>
      </c>
      <c r="H45" s="20" t="n">
        <f aca="false">$J$13/1000*H34</f>
        <v>0</v>
      </c>
      <c r="I45" s="20" t="n">
        <f aca="false">$J$13/1000*I34</f>
        <v>0</v>
      </c>
      <c r="J45" s="20" t="n">
        <f aca="false">$J$13/1000*J34</f>
        <v>0.4131</v>
      </c>
      <c r="K45" s="20" t="n">
        <f aca="false">$J$13/1000*K34</f>
        <v>0</v>
      </c>
      <c r="L45" s="20" t="n">
        <f aca="false">$J$13/1000*L34</f>
        <v>0</v>
      </c>
      <c r="M45" s="20" t="n">
        <f aca="false">$J$13/1000*M34</f>
        <v>0</v>
      </c>
      <c r="N45" s="42" t="n">
        <f aca="false">SUM(C45:M45)</f>
        <v>0.4131</v>
      </c>
    </row>
    <row r="46" customFormat="false" ht="15" hidden="false" customHeight="false" outlineLevel="0" collapsed="false">
      <c r="B46" s="13" t="s">
        <v>254</v>
      </c>
      <c r="C46" s="58" t="n">
        <f aca="false">SUM(C38:C45)</f>
        <v>0</v>
      </c>
      <c r="D46" s="58" t="n">
        <f aca="false">SUM(D38:D45)</f>
        <v>0.59947296</v>
      </c>
      <c r="E46" s="58" t="n">
        <f aca="false">SUM(E38:E45)</f>
        <v>0.058617864</v>
      </c>
      <c r="F46" s="58" t="n">
        <f aca="false">SUM(F38:F45)</f>
        <v>0.020373</v>
      </c>
      <c r="G46" s="58" t="n">
        <f aca="false">SUM(G38:G45)</f>
        <v>0</v>
      </c>
      <c r="H46" s="58" t="n">
        <f aca="false">SUM(H38:H45)</f>
        <v>0</v>
      </c>
      <c r="I46" s="58" t="n">
        <f aca="false">SUM(I38:I45)</f>
        <v>0</v>
      </c>
      <c r="J46" s="58" t="n">
        <f aca="false">SUM(J38:J45)</f>
        <v>0.491432208</v>
      </c>
      <c r="K46" s="58" t="n">
        <f aca="false">SUM(K38:K45)</f>
        <v>0</v>
      </c>
      <c r="L46" s="58" t="n">
        <f aca="false">SUM(L38:L45)</f>
        <v>0</v>
      </c>
      <c r="M46" s="58" t="n">
        <f aca="false">SUM(M38:M45)</f>
        <v>0.051090528</v>
      </c>
      <c r="N46" s="58" t="n">
        <f aca="false">SUM(N38:N45)</f>
        <v>1.22098656</v>
      </c>
    </row>
  </sheetData>
  <mergeCells count="6">
    <mergeCell ref="B2:N2"/>
    <mergeCell ref="B3:O3"/>
    <mergeCell ref="E19:K19"/>
    <mergeCell ref="E20:K20"/>
    <mergeCell ref="E21:K21"/>
    <mergeCell ref="E22:K22"/>
  </mergeCells>
  <hyperlinks>
    <hyperlink ref="B1" r:id="rId1" display="DEFENCE EQUIPMENT AND AMMUNITION - STEEL DEMAND BUILD-UP, 2025"/>
    <hyperlink ref="N1" r:id="rId2" display="2025 demand data"/>
    <hyperlink ref="O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O3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4" topLeftCell="C5" activePane="bottomRight" state="frozen"/>
      <selection pane="topLeft" activeCell="A1" activeCellId="0" sqref="A1"/>
      <selection pane="topRight" activeCell="C1" activeCellId="0" sqref="C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46"/>
    <col collapsed="false" customWidth="true" hidden="false" outlineLevel="0" max="13" min="3" style="0" width="10.51"/>
    <col collapsed="false" customWidth="true" hidden="false" outlineLevel="0" max="14" min="14" style="0" width="11"/>
    <col collapsed="false" customWidth="true" hidden="false" outlineLevel="0" max="15" min="15" style="0" width="10"/>
  </cols>
  <sheetData>
    <row r="1" customFormat="false" ht="20.25" hidden="false" customHeight="true" outlineLevel="0" collapsed="false">
      <c r="B1" s="1" t="s">
        <v>364</v>
      </c>
      <c r="N1" s="2" t="s">
        <v>1</v>
      </c>
      <c r="O1" s="2" t="s">
        <v>2</v>
      </c>
    </row>
    <row r="2" customFormat="false" ht="29.25" hidden="false" customHeight="true" outlineLevel="0" collapsed="false">
      <c r="B2" s="17" t="s">
        <v>365</v>
      </c>
      <c r="C2" s="17"/>
      <c r="D2" s="17"/>
      <c r="E2" s="17"/>
      <c r="F2" s="17"/>
      <c r="G2" s="17"/>
      <c r="H2" s="17"/>
      <c r="I2" s="17"/>
      <c r="J2" s="17"/>
      <c r="K2" s="17"/>
      <c r="L2" s="17"/>
      <c r="M2" s="17"/>
      <c r="N2" s="17"/>
    </row>
    <row r="3" customFormat="false" ht="41.25" hidden="false" customHeight="true" outlineLevel="0" collapsed="false">
      <c r="B3" s="4" t="s">
        <v>4</v>
      </c>
      <c r="C3" s="4"/>
      <c r="D3" s="4"/>
      <c r="E3" s="4"/>
      <c r="F3" s="4"/>
      <c r="G3" s="4"/>
      <c r="H3" s="4"/>
      <c r="I3" s="4"/>
      <c r="J3" s="4"/>
      <c r="K3" s="4"/>
      <c r="L3" s="4"/>
      <c r="M3" s="4"/>
      <c r="N3" s="4"/>
      <c r="O3" s="4"/>
    </row>
    <row r="4" customFormat="false" ht="31.5" hidden="false" customHeight="true" outlineLevel="0" collapsed="false">
      <c r="B4" s="5"/>
      <c r="C4" s="5" t="s">
        <v>242</v>
      </c>
      <c r="D4" s="5" t="s">
        <v>244</v>
      </c>
      <c r="E4" s="5" t="s">
        <v>245</v>
      </c>
      <c r="F4" s="5" t="s">
        <v>246</v>
      </c>
      <c r="G4" s="5" t="s">
        <v>247</v>
      </c>
      <c r="H4" s="5" t="s">
        <v>248</v>
      </c>
      <c r="I4" s="5" t="s">
        <v>249</v>
      </c>
      <c r="J4" s="5" t="s">
        <v>250</v>
      </c>
      <c r="K4" s="5" t="s">
        <v>251</v>
      </c>
      <c r="L4" s="5" t="s">
        <v>252</v>
      </c>
      <c r="M4" s="5" t="s">
        <v>36</v>
      </c>
      <c r="N4" s="5" t="s">
        <v>306</v>
      </c>
    </row>
    <row r="5" customFormat="false" ht="15" hidden="false" customHeight="false" outlineLevel="0" collapsed="false">
      <c r="B5" s="7" t="s">
        <v>366</v>
      </c>
      <c r="C5" s="36" t="n">
        <f aca="false">'Product supply'!$G$5</f>
        <v>6</v>
      </c>
      <c r="D5" s="36" t="n">
        <f aca="false">'Product supply'!$G$6</f>
        <v>449.287208054424</v>
      </c>
      <c r="E5" s="36" t="n">
        <f aca="false">'Product supply'!$G$7</f>
        <v>81.3501356675881</v>
      </c>
      <c r="F5" s="36" t="n">
        <f aca="false">'Product supply'!$G$8</f>
        <v>139.936894286448</v>
      </c>
      <c r="G5" s="36" t="n">
        <f aca="false">'Product supply'!$G$9</f>
        <v>10.42576199154</v>
      </c>
      <c r="H5" s="36" t="n">
        <f aca="false">'Product supply'!$G$10</f>
        <v>49.7384490618737</v>
      </c>
      <c r="I5" s="36" t="n">
        <f aca="false">'Product supply'!$G$11</f>
        <v>11.8424340724631</v>
      </c>
      <c r="J5" s="36" t="n">
        <f aca="false">'Product supply'!$G$12</f>
        <v>233.296742078874</v>
      </c>
      <c r="K5" s="36" t="n">
        <f aca="false">'Product supply'!$G$13</f>
        <v>319.746849744147</v>
      </c>
      <c r="L5" s="36" t="n">
        <f aca="false">'Product supply'!$G$14</f>
        <v>227.375525042642</v>
      </c>
      <c r="M5" s="36" t="n">
        <f aca="false">'Product supply'!$G$15</f>
        <v>189</v>
      </c>
      <c r="N5" s="19" t="n">
        <f aca="false">SUM(C5:M5)</f>
        <v>1718</v>
      </c>
    </row>
    <row r="6" customFormat="false" ht="15" hidden="false" customHeight="false" outlineLevel="0" collapsed="false">
      <c r="B6" s="7" t="s">
        <v>367</v>
      </c>
      <c r="C6" s="36" t="n">
        <f aca="false">'Sector build'!C68</f>
        <v>6</v>
      </c>
      <c r="D6" s="36" t="n">
        <f aca="false">'Sector build'!D68</f>
        <v>55.4922365629764</v>
      </c>
      <c r="E6" s="36" t="n">
        <f aca="false">'Sector build'!E68</f>
        <v>46.670521864</v>
      </c>
      <c r="F6" s="36" t="n">
        <f aca="false">'Sector build'!F68</f>
        <v>102.605334875</v>
      </c>
      <c r="G6" s="36" t="n">
        <f aca="false">'Sector build'!G68</f>
        <v>10.42576199154</v>
      </c>
      <c r="H6" s="36" t="n">
        <f aca="false">'Sector build'!H68</f>
        <v>0.0864</v>
      </c>
      <c r="I6" s="36" t="n">
        <f aca="false">'Sector build'!I68</f>
        <v>11.8424340724631</v>
      </c>
      <c r="J6" s="36" t="n">
        <f aca="false">'Sector build'!J68</f>
        <v>36.5290420415729</v>
      </c>
      <c r="K6" s="36" t="n">
        <f aca="false">'Sector build'!K68</f>
        <v>0</v>
      </c>
      <c r="L6" s="36" t="n">
        <f aca="false">'Sector build'!L68</f>
        <v>81.1417932969188</v>
      </c>
      <c r="M6" s="36" t="n">
        <f aca="false">'Sector build'!M68</f>
        <v>3.54418396717112</v>
      </c>
      <c r="N6" s="19" t="n">
        <f aca="false">SUM(C6:M6)</f>
        <v>354.337708671642</v>
      </c>
    </row>
    <row r="7" customFormat="false" ht="15" hidden="false" customHeight="false" outlineLevel="0" collapsed="false">
      <c r="B7" s="59" t="s">
        <v>368</v>
      </c>
      <c r="C7" s="60" t="n">
        <f aca="false">C5-C6</f>
        <v>0</v>
      </c>
      <c r="D7" s="60" t="n">
        <f aca="false">D5-D6</f>
        <v>393.794971491448</v>
      </c>
      <c r="E7" s="60" t="n">
        <f aca="false">E5-E6</f>
        <v>34.6796138035881</v>
      </c>
      <c r="F7" s="60" t="n">
        <f aca="false">F5-F6</f>
        <v>37.3315594114477</v>
      </c>
      <c r="G7" s="60" t="n">
        <f aca="false">G5-G6</f>
        <v>0</v>
      </c>
      <c r="H7" s="60" t="n">
        <f aca="false">H5-H6</f>
        <v>49.6520490618737</v>
      </c>
      <c r="I7" s="60" t="n">
        <f aca="false">I5-I6</f>
        <v>0</v>
      </c>
      <c r="J7" s="60" t="n">
        <f aca="false">J5-J6</f>
        <v>196.767700037301</v>
      </c>
      <c r="K7" s="60" t="n">
        <f aca="false">K5-K6</f>
        <v>319.746849744147</v>
      </c>
      <c r="L7" s="60" t="n">
        <f aca="false">L5-L6</f>
        <v>146.233731745723</v>
      </c>
      <c r="M7" s="60" t="n">
        <f aca="false">M5-M6</f>
        <v>185.455816032829</v>
      </c>
      <c r="N7" s="45" t="n">
        <f aca="false">SUM(C7:M7)</f>
        <v>1363.66229132836</v>
      </c>
    </row>
    <row r="9" customFormat="false" ht="15" hidden="false" customHeight="false" outlineLevel="0" collapsed="false">
      <c r="B9" s="18" t="s">
        <v>369</v>
      </c>
    </row>
    <row r="10" customFormat="false" ht="31.5" hidden="false" customHeight="true" outlineLevel="0" collapsed="false">
      <c r="B10" s="5" t="s">
        <v>288</v>
      </c>
      <c r="C10" s="5" t="s">
        <v>242</v>
      </c>
      <c r="D10" s="5" t="s">
        <v>244</v>
      </c>
      <c r="E10" s="5" t="s">
        <v>245</v>
      </c>
      <c r="F10" s="5" t="s">
        <v>246</v>
      </c>
      <c r="G10" s="5" t="s">
        <v>247</v>
      </c>
      <c r="H10" s="5" t="s">
        <v>248</v>
      </c>
      <c r="I10" s="5" t="s">
        <v>249</v>
      </c>
      <c r="J10" s="5" t="s">
        <v>250</v>
      </c>
      <c r="K10" s="5" t="s">
        <v>251</v>
      </c>
      <c r="L10" s="5" t="s">
        <v>252</v>
      </c>
      <c r="M10" s="5" t="s">
        <v>36</v>
      </c>
    </row>
    <row r="11" customFormat="false" ht="15" hidden="false" customHeight="false" outlineLevel="0" collapsed="false">
      <c r="B11" s="7" t="s">
        <v>370</v>
      </c>
      <c r="C11" s="43" t="n">
        <v>0</v>
      </c>
      <c r="D11" s="43" t="n">
        <v>0.439281</v>
      </c>
      <c r="E11" s="43" t="n">
        <v>0.306568</v>
      </c>
      <c r="F11" s="43" t="n">
        <v>0.876058</v>
      </c>
      <c r="G11" s="43" t="n">
        <v>0</v>
      </c>
      <c r="H11" s="43" t="n">
        <v>0.84984</v>
      </c>
      <c r="I11" s="43" t="n">
        <v>0</v>
      </c>
      <c r="J11" s="43" t="n">
        <v>0.755842</v>
      </c>
      <c r="K11" s="43" t="n">
        <v>0.977914</v>
      </c>
      <c r="L11" s="43" t="n">
        <v>0.523715</v>
      </c>
      <c r="M11" s="43" t="n">
        <v>0</v>
      </c>
    </row>
    <row r="12" customFormat="false" ht="15" hidden="false" customHeight="false" outlineLevel="0" collapsed="false">
      <c r="B12" s="7" t="s">
        <v>371</v>
      </c>
      <c r="C12" s="43" t="n">
        <v>0</v>
      </c>
      <c r="D12" s="43" t="n">
        <v>0</v>
      </c>
      <c r="E12" s="43" t="n">
        <v>0</v>
      </c>
      <c r="F12" s="43" t="n">
        <v>0</v>
      </c>
      <c r="G12" s="43" t="n">
        <v>0</v>
      </c>
      <c r="H12" s="43" t="n">
        <v>0</v>
      </c>
      <c r="I12" s="43" t="n">
        <v>0</v>
      </c>
      <c r="J12" s="43" t="n">
        <v>0</v>
      </c>
      <c r="K12" s="43" t="n">
        <v>0</v>
      </c>
      <c r="L12" s="43" t="n">
        <v>0</v>
      </c>
      <c r="M12" s="43" t="n">
        <v>0.213136</v>
      </c>
    </row>
    <row r="13" customFormat="false" ht="15" hidden="false" customHeight="false" outlineLevel="0" collapsed="false">
      <c r="B13" s="7" t="s">
        <v>372</v>
      </c>
      <c r="C13" s="43" t="n">
        <v>0</v>
      </c>
      <c r="D13" s="43" t="n">
        <v>0.355339</v>
      </c>
      <c r="E13" s="43" t="n">
        <v>0.545568</v>
      </c>
      <c r="F13" s="43" t="n">
        <v>0.029665</v>
      </c>
      <c r="G13" s="43" t="n">
        <v>0</v>
      </c>
      <c r="H13" s="43" t="n">
        <v>0.098794</v>
      </c>
      <c r="I13" s="43" t="n">
        <v>0</v>
      </c>
      <c r="J13" s="43" t="n">
        <v>0.18838</v>
      </c>
      <c r="K13" s="43" t="n">
        <v>0</v>
      </c>
      <c r="L13" s="43" t="n">
        <v>0.30502</v>
      </c>
      <c r="M13" s="43" t="n">
        <v>0</v>
      </c>
    </row>
    <row r="14" customFormat="false" ht="15" hidden="false" customHeight="false" outlineLevel="0" collapsed="false">
      <c r="B14" s="7" t="s">
        <v>373</v>
      </c>
      <c r="C14" s="43" t="n">
        <v>0</v>
      </c>
      <c r="D14" s="43" t="n">
        <v>0</v>
      </c>
      <c r="E14" s="43" t="n">
        <v>0</v>
      </c>
      <c r="F14" s="43" t="n">
        <v>0</v>
      </c>
      <c r="G14" s="43" t="n">
        <v>0</v>
      </c>
      <c r="H14" s="43" t="n">
        <v>0</v>
      </c>
      <c r="I14" s="43" t="n">
        <v>0</v>
      </c>
      <c r="J14" s="43" t="n">
        <v>0</v>
      </c>
      <c r="K14" s="43" t="n">
        <v>0</v>
      </c>
      <c r="L14" s="43" t="n">
        <v>0</v>
      </c>
      <c r="M14" s="43" t="n">
        <v>0.120686</v>
      </c>
    </row>
    <row r="15" customFormat="false" ht="15" hidden="false" customHeight="false" outlineLevel="0" collapsed="false">
      <c r="B15" s="7" t="s">
        <v>374</v>
      </c>
      <c r="C15" s="43" t="n">
        <v>0</v>
      </c>
      <c r="D15" s="43" t="n">
        <v>0.010424</v>
      </c>
      <c r="E15" s="43" t="n">
        <v>0</v>
      </c>
      <c r="F15" s="43" t="n">
        <v>0</v>
      </c>
      <c r="G15" s="43" t="n">
        <v>0</v>
      </c>
      <c r="H15" s="43" t="n">
        <v>0</v>
      </c>
      <c r="I15" s="43" t="n">
        <v>0</v>
      </c>
      <c r="J15" s="43" t="n">
        <v>0</v>
      </c>
      <c r="K15" s="43" t="n">
        <v>0</v>
      </c>
      <c r="L15" s="43" t="n">
        <v>0</v>
      </c>
      <c r="M15" s="43" t="n">
        <v>0</v>
      </c>
    </row>
    <row r="16" customFormat="false" ht="15" hidden="false" customHeight="false" outlineLevel="0" collapsed="false">
      <c r="B16" s="7" t="s">
        <v>375</v>
      </c>
      <c r="C16" s="43" t="n">
        <v>0</v>
      </c>
      <c r="D16" s="43" t="n">
        <v>0.146769</v>
      </c>
      <c r="E16" s="43" t="n">
        <v>0</v>
      </c>
      <c r="F16" s="43" t="n">
        <v>0</v>
      </c>
      <c r="G16" s="43" t="n">
        <v>0</v>
      </c>
      <c r="H16" s="43" t="n">
        <v>0</v>
      </c>
      <c r="I16" s="43" t="n">
        <v>0</v>
      </c>
      <c r="J16" s="43" t="n">
        <v>0</v>
      </c>
      <c r="K16" s="43" t="n">
        <v>0</v>
      </c>
      <c r="L16" s="43" t="n">
        <v>0</v>
      </c>
      <c r="M16" s="43" t="n">
        <v>0</v>
      </c>
    </row>
    <row r="17" customFormat="false" ht="15" hidden="false" customHeight="false" outlineLevel="0" collapsed="false">
      <c r="B17" s="7" t="s">
        <v>376</v>
      </c>
      <c r="C17" s="43" t="n">
        <v>0</v>
      </c>
      <c r="D17" s="43" t="n">
        <v>0</v>
      </c>
      <c r="E17" s="43" t="n">
        <v>0.110307</v>
      </c>
      <c r="F17" s="43" t="n">
        <v>0.065976</v>
      </c>
      <c r="G17" s="43" t="n">
        <v>0</v>
      </c>
      <c r="H17" s="43" t="n">
        <v>0</v>
      </c>
      <c r="I17" s="43" t="n">
        <v>0</v>
      </c>
      <c r="J17" s="43" t="n">
        <v>0.033076</v>
      </c>
      <c r="K17" s="43" t="n">
        <v>0.010882</v>
      </c>
      <c r="L17" s="43" t="n">
        <v>0.113064</v>
      </c>
      <c r="M17" s="43" t="n">
        <v>0</v>
      </c>
    </row>
    <row r="18" customFormat="false" ht="15" hidden="false" customHeight="false" outlineLevel="0" collapsed="false">
      <c r="B18" s="7" t="s">
        <v>377</v>
      </c>
      <c r="C18" s="43" t="n">
        <v>0</v>
      </c>
      <c r="D18" s="43" t="n">
        <v>0</v>
      </c>
      <c r="E18" s="43" t="n">
        <v>0</v>
      </c>
      <c r="F18" s="43" t="n">
        <v>0</v>
      </c>
      <c r="G18" s="43" t="n">
        <v>0</v>
      </c>
      <c r="H18" s="43" t="n">
        <v>0</v>
      </c>
      <c r="I18" s="43" t="n">
        <v>0</v>
      </c>
      <c r="J18" s="43" t="n">
        <v>0</v>
      </c>
      <c r="K18" s="43" t="n">
        <v>0</v>
      </c>
      <c r="L18" s="43" t="n">
        <v>0</v>
      </c>
      <c r="M18" s="43" t="n">
        <v>0.063908</v>
      </c>
    </row>
    <row r="19" customFormat="false" ht="15" hidden="false" customHeight="false" outlineLevel="0" collapsed="false">
      <c r="B19" s="7" t="s">
        <v>378</v>
      </c>
      <c r="C19" s="43" t="n">
        <v>0</v>
      </c>
      <c r="D19" s="43" t="n">
        <v>0</v>
      </c>
      <c r="E19" s="43" t="n">
        <v>0</v>
      </c>
      <c r="F19" s="43" t="n">
        <v>0</v>
      </c>
      <c r="G19" s="43" t="n">
        <v>0</v>
      </c>
      <c r="H19" s="43" t="n">
        <v>0</v>
      </c>
      <c r="I19" s="43" t="n">
        <v>0</v>
      </c>
      <c r="J19" s="43" t="n">
        <v>0</v>
      </c>
      <c r="K19" s="43" t="n">
        <v>0</v>
      </c>
      <c r="L19" s="43" t="n">
        <v>0</v>
      </c>
      <c r="M19" s="43" t="n">
        <v>0.580408</v>
      </c>
    </row>
    <row r="20" customFormat="false" ht="15" hidden="false" customHeight="false" outlineLevel="0" collapsed="false">
      <c r="B20" s="7" t="s">
        <v>379</v>
      </c>
      <c r="C20" s="43" t="n">
        <v>0</v>
      </c>
      <c r="D20" s="43" t="n">
        <v>0.019128</v>
      </c>
      <c r="E20" s="43" t="n">
        <v>0.023361</v>
      </c>
      <c r="F20" s="43" t="n">
        <v>0</v>
      </c>
      <c r="G20" s="43" t="n">
        <v>0</v>
      </c>
      <c r="H20" s="43" t="n">
        <v>0.037228</v>
      </c>
      <c r="I20" s="43" t="n">
        <v>0</v>
      </c>
      <c r="J20" s="43" t="n">
        <v>0</v>
      </c>
      <c r="K20" s="43" t="n">
        <v>0</v>
      </c>
      <c r="L20" s="43" t="n">
        <v>0</v>
      </c>
      <c r="M20" s="43" t="n">
        <v>0.005414</v>
      </c>
    </row>
    <row r="21" customFormat="false" ht="15" hidden="false" customHeight="false" outlineLevel="0" collapsed="false">
      <c r="B21" s="7" t="s">
        <v>21</v>
      </c>
      <c r="C21" s="43" t="n">
        <v>0</v>
      </c>
      <c r="D21" s="43" t="n">
        <v>0.029058</v>
      </c>
      <c r="E21" s="43" t="n">
        <v>0.014195</v>
      </c>
      <c r="F21" s="43" t="n">
        <v>0.028301</v>
      </c>
      <c r="G21" s="43" t="n">
        <v>0</v>
      </c>
      <c r="H21" s="43" t="n">
        <v>0.014138</v>
      </c>
      <c r="I21" s="43" t="n">
        <v>0</v>
      </c>
      <c r="J21" s="43" t="n">
        <v>0.022702</v>
      </c>
      <c r="K21" s="43" t="n">
        <v>0.011204</v>
      </c>
      <c r="L21" s="43" t="n">
        <v>0.058201</v>
      </c>
      <c r="M21" s="43" t="n">
        <v>0.016449</v>
      </c>
    </row>
    <row r="22" customFormat="false" ht="15" hidden="false" customHeight="false" outlineLevel="0" collapsed="false">
      <c r="B22" s="13" t="s">
        <v>380</v>
      </c>
      <c r="C22" s="39" t="n">
        <f aca="false">SUM(C11:C21)</f>
        <v>0</v>
      </c>
      <c r="D22" s="39" t="n">
        <f aca="false">SUM(D11:D21)</f>
        <v>0.999999</v>
      </c>
      <c r="E22" s="39" t="n">
        <f aca="false">SUM(E11:E21)</f>
        <v>0.999999</v>
      </c>
      <c r="F22" s="39" t="n">
        <f aca="false">SUM(F11:F21)</f>
        <v>1</v>
      </c>
      <c r="G22" s="39" t="n">
        <f aca="false">SUM(G11:G21)</f>
        <v>0</v>
      </c>
      <c r="H22" s="39" t="n">
        <f aca="false">SUM(H11:H21)</f>
        <v>1</v>
      </c>
      <c r="I22" s="39" t="n">
        <f aca="false">SUM(I11:I21)</f>
        <v>0</v>
      </c>
      <c r="J22" s="39" t="n">
        <f aca="false">SUM(J11:J21)</f>
        <v>1</v>
      </c>
      <c r="K22" s="39" t="n">
        <f aca="false">SUM(K11:K21)</f>
        <v>1</v>
      </c>
      <c r="L22" s="39" t="n">
        <f aca="false">SUM(L11:L21)</f>
        <v>1</v>
      </c>
      <c r="M22" s="39" t="n">
        <f aca="false">SUM(M11:M21)</f>
        <v>1.000001</v>
      </c>
    </row>
    <row r="23" customFormat="false" ht="15" hidden="false" customHeight="false" outlineLevel="0" collapsed="false">
      <c r="B23" s="3" t="s">
        <v>381</v>
      </c>
      <c r="C23" s="40" t="n">
        <f aca="false">C7*(1-C22)</f>
        <v>0</v>
      </c>
      <c r="D23" s="40" t="n">
        <f aca="false">D7*(1-D22)</f>
        <v>0.000393794971502772</v>
      </c>
      <c r="E23" s="40" t="n">
        <f aca="false">E7*(1-E22)</f>
        <v>3.46796138007351E-005</v>
      </c>
      <c r="F23" s="40" t="n">
        <f aca="false">F7*(1-F22)</f>
        <v>0</v>
      </c>
      <c r="G23" s="40" t="n">
        <f aca="false">G7*(1-G22)</f>
        <v>0</v>
      </c>
      <c r="H23" s="40" t="n">
        <f aca="false">H7*(1-H22)</f>
        <v>0</v>
      </c>
      <c r="I23" s="40" t="n">
        <f aca="false">I7*(1-I22)</f>
        <v>0</v>
      </c>
      <c r="J23" s="40" t="n">
        <f aca="false">J7*(1-J22)</f>
        <v>0</v>
      </c>
      <c r="K23" s="40" t="n">
        <f aca="false">K7*(1-K22)</f>
        <v>0</v>
      </c>
      <c r="L23" s="40" t="n">
        <f aca="false">L7*(1-L22)</f>
        <v>0</v>
      </c>
      <c r="M23" s="40" t="n">
        <f aca="false">M7*(1-M22)</f>
        <v>-0.000185455816058752</v>
      </c>
      <c r="N23" s="42" t="n">
        <f aca="false">SUM(C23:M23)</f>
        <v>0.000243018769244755</v>
      </c>
    </row>
    <row r="25" customFormat="false" ht="15" hidden="false" customHeight="false" outlineLevel="0" collapsed="false">
      <c r="B25" s="18" t="s">
        <v>382</v>
      </c>
    </row>
    <row r="26" customFormat="false" ht="31.5" hidden="false" customHeight="true" outlineLevel="0" collapsed="false">
      <c r="B26" s="5" t="s">
        <v>288</v>
      </c>
      <c r="C26" s="5" t="s">
        <v>242</v>
      </c>
      <c r="D26" s="5" t="s">
        <v>244</v>
      </c>
      <c r="E26" s="5" t="s">
        <v>245</v>
      </c>
      <c r="F26" s="5" t="s">
        <v>246</v>
      </c>
      <c r="G26" s="5" t="s">
        <v>247</v>
      </c>
      <c r="H26" s="5" t="s">
        <v>248</v>
      </c>
      <c r="I26" s="5" t="s">
        <v>249</v>
      </c>
      <c r="J26" s="5" t="s">
        <v>250</v>
      </c>
      <c r="K26" s="5" t="s">
        <v>251</v>
      </c>
      <c r="L26" s="5" t="s">
        <v>252</v>
      </c>
      <c r="M26" s="5" t="s">
        <v>36</v>
      </c>
      <c r="N26" s="5" t="s">
        <v>306</v>
      </c>
    </row>
    <row r="27" customFormat="false" ht="15" hidden="false" customHeight="false" outlineLevel="0" collapsed="false">
      <c r="B27" s="7" t="s">
        <v>370</v>
      </c>
      <c r="C27" s="19" t="n">
        <f aca="false">C$7*C11</f>
        <v>0</v>
      </c>
      <c r="D27" s="19" t="n">
        <f aca="false">D$7*D11</f>
        <v>172.986648871735</v>
      </c>
      <c r="E27" s="19" t="n">
        <f aca="false">E$7*E11</f>
        <v>10.6316598445384</v>
      </c>
      <c r="F27" s="19" t="n">
        <f aca="false">F$7*F11</f>
        <v>32.704611274874</v>
      </c>
      <c r="G27" s="19" t="n">
        <f aca="false">G$7*G11</f>
        <v>0</v>
      </c>
      <c r="H27" s="19" t="n">
        <f aca="false">H$7*H11</f>
        <v>42.1962973747428</v>
      </c>
      <c r="I27" s="19" t="n">
        <f aca="false">I$7*I11</f>
        <v>0</v>
      </c>
      <c r="J27" s="19" t="n">
        <f aca="false">J$7*J11</f>
        <v>148.725291931594</v>
      </c>
      <c r="K27" s="19" t="n">
        <f aca="false">K$7*K11</f>
        <v>312.684920820698</v>
      </c>
      <c r="L27" s="19" t="n">
        <f aca="false">L$7*L11</f>
        <v>76.5847988212115</v>
      </c>
      <c r="M27" s="19" t="n">
        <f aca="false">M$7*M11</f>
        <v>0</v>
      </c>
      <c r="N27" s="45" t="n">
        <f aca="false">SUM(C27:M27)</f>
        <v>796.514228939393</v>
      </c>
    </row>
    <row r="28" customFormat="false" ht="15" hidden="false" customHeight="false" outlineLevel="0" collapsed="false">
      <c r="B28" s="7" t="s">
        <v>371</v>
      </c>
      <c r="C28" s="19" t="n">
        <f aca="false">C$7*C12</f>
        <v>0</v>
      </c>
      <c r="D28" s="19" t="n">
        <f aca="false">D$7*D12</f>
        <v>0</v>
      </c>
      <c r="E28" s="19" t="n">
        <f aca="false">E$7*E12</f>
        <v>0</v>
      </c>
      <c r="F28" s="19" t="n">
        <f aca="false">F$7*F12</f>
        <v>0</v>
      </c>
      <c r="G28" s="19" t="n">
        <f aca="false">G$7*G12</f>
        <v>0</v>
      </c>
      <c r="H28" s="19" t="n">
        <f aca="false">H$7*H12</f>
        <v>0</v>
      </c>
      <c r="I28" s="19" t="n">
        <f aca="false">I$7*I12</f>
        <v>0</v>
      </c>
      <c r="J28" s="19" t="n">
        <f aca="false">J$7*J12</f>
        <v>0</v>
      </c>
      <c r="K28" s="19" t="n">
        <f aca="false">K$7*K12</f>
        <v>0</v>
      </c>
      <c r="L28" s="19" t="n">
        <f aca="false">L$7*L12</f>
        <v>0</v>
      </c>
      <c r="M28" s="19" t="n">
        <f aca="false">M$7*M12</f>
        <v>39.527310805973</v>
      </c>
      <c r="N28" s="45" t="n">
        <f aca="false">SUM(C28:M28)</f>
        <v>39.527310805973</v>
      </c>
    </row>
    <row r="29" customFormat="false" ht="15" hidden="false" customHeight="false" outlineLevel="0" collapsed="false">
      <c r="B29" s="7" t="s">
        <v>372</v>
      </c>
      <c r="C29" s="19" t="n">
        <f aca="false">C$7*C13</f>
        <v>0</v>
      </c>
      <c r="D29" s="19" t="n">
        <f aca="false">D$7*D13</f>
        <v>139.9307113748</v>
      </c>
      <c r="E29" s="19" t="n">
        <f aca="false">E$7*E13</f>
        <v>18.920087543596</v>
      </c>
      <c r="F29" s="19" t="n">
        <f aca="false">F$7*F13</f>
        <v>1.1074407099406</v>
      </c>
      <c r="G29" s="19" t="n">
        <f aca="false">G$7*G13</f>
        <v>0</v>
      </c>
      <c r="H29" s="19" t="n">
        <f aca="false">H$7*H13</f>
        <v>4.90532453501875</v>
      </c>
      <c r="I29" s="19" t="n">
        <f aca="false">I$7*I13</f>
        <v>0</v>
      </c>
      <c r="J29" s="19" t="n">
        <f aca="false">J$7*J13</f>
        <v>37.0670993330267</v>
      </c>
      <c r="K29" s="19" t="n">
        <f aca="false">K$7*K13</f>
        <v>0</v>
      </c>
      <c r="L29" s="19" t="n">
        <f aca="false">L$7*L13</f>
        <v>44.6042128570805</v>
      </c>
      <c r="M29" s="19" t="n">
        <f aca="false">M$7*M13</f>
        <v>0</v>
      </c>
      <c r="N29" s="45" t="n">
        <f aca="false">SUM(C29:M29)</f>
        <v>246.534876353462</v>
      </c>
    </row>
    <row r="30" customFormat="false" ht="15" hidden="false" customHeight="false" outlineLevel="0" collapsed="false">
      <c r="B30" s="7" t="s">
        <v>373</v>
      </c>
      <c r="C30" s="19" t="n">
        <f aca="false">C$7*C14</f>
        <v>0</v>
      </c>
      <c r="D30" s="19" t="n">
        <f aca="false">D$7*D14</f>
        <v>0</v>
      </c>
      <c r="E30" s="19" t="n">
        <f aca="false">E$7*E14</f>
        <v>0</v>
      </c>
      <c r="F30" s="19" t="n">
        <f aca="false">F$7*F14</f>
        <v>0</v>
      </c>
      <c r="G30" s="19" t="n">
        <f aca="false">G$7*G14</f>
        <v>0</v>
      </c>
      <c r="H30" s="19" t="n">
        <f aca="false">H$7*H14</f>
        <v>0</v>
      </c>
      <c r="I30" s="19" t="n">
        <f aca="false">I$7*I14</f>
        <v>0</v>
      </c>
      <c r="J30" s="19" t="n">
        <f aca="false">J$7*J14</f>
        <v>0</v>
      </c>
      <c r="K30" s="19" t="n">
        <f aca="false">K$7*K14</f>
        <v>0</v>
      </c>
      <c r="L30" s="19" t="n">
        <f aca="false">L$7*L14</f>
        <v>0</v>
      </c>
      <c r="M30" s="19" t="n">
        <f aca="false">M$7*M14</f>
        <v>22.381920613738</v>
      </c>
      <c r="N30" s="45" t="n">
        <f aca="false">SUM(C30:M30)</f>
        <v>22.381920613738</v>
      </c>
    </row>
    <row r="31" customFormat="false" ht="15" hidden="false" customHeight="false" outlineLevel="0" collapsed="false">
      <c r="B31" s="7" t="s">
        <v>374</v>
      </c>
      <c r="C31" s="19" t="n">
        <f aca="false">C$7*C15</f>
        <v>0</v>
      </c>
      <c r="D31" s="19" t="n">
        <f aca="false">D$7*D15</f>
        <v>4.10491878282685</v>
      </c>
      <c r="E31" s="19" t="n">
        <f aca="false">E$7*E15</f>
        <v>0</v>
      </c>
      <c r="F31" s="19" t="n">
        <f aca="false">F$7*F15</f>
        <v>0</v>
      </c>
      <c r="G31" s="19" t="n">
        <f aca="false">G$7*G15</f>
        <v>0</v>
      </c>
      <c r="H31" s="19" t="n">
        <f aca="false">H$7*H15</f>
        <v>0</v>
      </c>
      <c r="I31" s="19" t="n">
        <f aca="false">I$7*I15</f>
        <v>0</v>
      </c>
      <c r="J31" s="19" t="n">
        <f aca="false">J$7*J15</f>
        <v>0</v>
      </c>
      <c r="K31" s="19" t="n">
        <f aca="false">K$7*K15</f>
        <v>0</v>
      </c>
      <c r="L31" s="19" t="n">
        <f aca="false">L$7*L15</f>
        <v>0</v>
      </c>
      <c r="M31" s="19" t="n">
        <f aca="false">M$7*M15</f>
        <v>0</v>
      </c>
      <c r="N31" s="45" t="n">
        <f aca="false">SUM(C31:M31)</f>
        <v>4.10491878282685</v>
      </c>
    </row>
    <row r="32" customFormat="false" ht="15" hidden="false" customHeight="false" outlineLevel="0" collapsed="false">
      <c r="B32" s="7" t="s">
        <v>375</v>
      </c>
      <c r="C32" s="19" t="n">
        <f aca="false">C$7*C16</f>
        <v>0</v>
      </c>
      <c r="D32" s="19" t="n">
        <f aca="false">D$7*D16</f>
        <v>57.7968941708283</v>
      </c>
      <c r="E32" s="19" t="n">
        <f aca="false">E$7*E16</f>
        <v>0</v>
      </c>
      <c r="F32" s="19" t="n">
        <f aca="false">F$7*F16</f>
        <v>0</v>
      </c>
      <c r="G32" s="19" t="n">
        <f aca="false">G$7*G16</f>
        <v>0</v>
      </c>
      <c r="H32" s="19" t="n">
        <f aca="false">H$7*H16</f>
        <v>0</v>
      </c>
      <c r="I32" s="19" t="n">
        <f aca="false">I$7*I16</f>
        <v>0</v>
      </c>
      <c r="J32" s="19" t="n">
        <f aca="false">J$7*J16</f>
        <v>0</v>
      </c>
      <c r="K32" s="19" t="n">
        <f aca="false">K$7*K16</f>
        <v>0</v>
      </c>
      <c r="L32" s="19" t="n">
        <f aca="false">L$7*L16</f>
        <v>0</v>
      </c>
      <c r="M32" s="19" t="n">
        <f aca="false">M$7*M16</f>
        <v>0</v>
      </c>
      <c r="N32" s="45" t="n">
        <f aca="false">SUM(C32:M32)</f>
        <v>57.7968941708283</v>
      </c>
    </row>
    <row r="33" customFormat="false" ht="15" hidden="false" customHeight="false" outlineLevel="0" collapsed="false">
      <c r="B33" s="7" t="s">
        <v>376</v>
      </c>
      <c r="C33" s="19" t="n">
        <f aca="false">C$7*C17</f>
        <v>0</v>
      </c>
      <c r="D33" s="19" t="n">
        <f aca="false">D$7*D17</f>
        <v>0</v>
      </c>
      <c r="E33" s="19" t="n">
        <f aca="false">E$7*E17</f>
        <v>3.82540415983239</v>
      </c>
      <c r="F33" s="19" t="n">
        <f aca="false">F$7*F17</f>
        <v>2.46298696372967</v>
      </c>
      <c r="G33" s="19" t="n">
        <f aca="false">G$7*G17</f>
        <v>0</v>
      </c>
      <c r="H33" s="19" t="n">
        <f aca="false">H$7*H17</f>
        <v>0</v>
      </c>
      <c r="I33" s="19" t="n">
        <f aca="false">I$7*I17</f>
        <v>0</v>
      </c>
      <c r="J33" s="19" t="n">
        <f aca="false">J$7*J17</f>
        <v>6.50828844643376</v>
      </c>
      <c r="K33" s="19" t="n">
        <f aca="false">K$7*K17</f>
        <v>3.47948521891581</v>
      </c>
      <c r="L33" s="19" t="n">
        <f aca="false">L$7*L17</f>
        <v>16.5337706460985</v>
      </c>
      <c r="M33" s="19" t="n">
        <f aca="false">M$7*M17</f>
        <v>0</v>
      </c>
      <c r="N33" s="45" t="n">
        <f aca="false">SUM(C33:M33)</f>
        <v>32.8099354350101</v>
      </c>
    </row>
    <row r="34" customFormat="false" ht="15" hidden="false" customHeight="false" outlineLevel="0" collapsed="false">
      <c r="B34" s="7" t="s">
        <v>377</v>
      </c>
      <c r="C34" s="19" t="n">
        <f aca="false">C$7*C18</f>
        <v>0</v>
      </c>
      <c r="D34" s="19" t="n">
        <f aca="false">D$7*D18</f>
        <v>0</v>
      </c>
      <c r="E34" s="19" t="n">
        <f aca="false">E$7*E18</f>
        <v>0</v>
      </c>
      <c r="F34" s="19" t="n">
        <f aca="false">F$7*F18</f>
        <v>0</v>
      </c>
      <c r="G34" s="19" t="n">
        <f aca="false">G$7*G18</f>
        <v>0</v>
      </c>
      <c r="H34" s="19" t="n">
        <f aca="false">H$7*H18</f>
        <v>0</v>
      </c>
      <c r="I34" s="19" t="n">
        <f aca="false">I$7*I18</f>
        <v>0</v>
      </c>
      <c r="J34" s="19" t="n">
        <f aca="false">J$7*J18</f>
        <v>0</v>
      </c>
      <c r="K34" s="19" t="n">
        <f aca="false">K$7*K18</f>
        <v>0</v>
      </c>
      <c r="L34" s="19" t="n">
        <f aca="false">L$7*L18</f>
        <v>0</v>
      </c>
      <c r="M34" s="19" t="n">
        <f aca="false">M$7*M18</f>
        <v>11.852110291026</v>
      </c>
      <c r="N34" s="45" t="n">
        <f aca="false">SUM(C34:M34)</f>
        <v>11.852110291026</v>
      </c>
    </row>
    <row r="35" customFormat="false" ht="15" hidden="false" customHeight="false" outlineLevel="0" collapsed="false">
      <c r="B35" s="7" t="s">
        <v>378</v>
      </c>
      <c r="C35" s="19" t="n">
        <f aca="false">C$7*C19</f>
        <v>0</v>
      </c>
      <c r="D35" s="19" t="n">
        <f aca="false">D$7*D19</f>
        <v>0</v>
      </c>
      <c r="E35" s="19" t="n">
        <f aca="false">E$7*E19</f>
        <v>0</v>
      </c>
      <c r="F35" s="19" t="n">
        <f aca="false">F$7*F19</f>
        <v>0</v>
      </c>
      <c r="G35" s="19" t="n">
        <f aca="false">G$7*G19</f>
        <v>0</v>
      </c>
      <c r="H35" s="19" t="n">
        <f aca="false">H$7*H19</f>
        <v>0</v>
      </c>
      <c r="I35" s="19" t="n">
        <f aca="false">I$7*I19</f>
        <v>0</v>
      </c>
      <c r="J35" s="19" t="n">
        <f aca="false">J$7*J19</f>
        <v>0</v>
      </c>
      <c r="K35" s="19" t="n">
        <f aca="false">K$7*K19</f>
        <v>0</v>
      </c>
      <c r="L35" s="19" t="n">
        <f aca="false">L$7*L19</f>
        <v>0</v>
      </c>
      <c r="M35" s="19" t="n">
        <f aca="false">M$7*M19</f>
        <v>107.640039271982</v>
      </c>
      <c r="N35" s="45" t="n">
        <f aca="false">SUM(C35:M35)</f>
        <v>107.640039271982</v>
      </c>
    </row>
    <row r="36" customFormat="false" ht="15" hidden="false" customHeight="false" outlineLevel="0" collapsed="false">
      <c r="B36" s="7" t="s">
        <v>379</v>
      </c>
      <c r="C36" s="19" t="n">
        <f aca="false">C$7*C20</f>
        <v>0</v>
      </c>
      <c r="D36" s="19" t="n">
        <f aca="false">D$7*D20</f>
        <v>7.53251021468841</v>
      </c>
      <c r="E36" s="19" t="n">
        <f aca="false">E$7*E20</f>
        <v>0.810150458065622</v>
      </c>
      <c r="F36" s="19" t="n">
        <f aca="false">F$7*F20</f>
        <v>0</v>
      </c>
      <c r="G36" s="19" t="n">
        <f aca="false">G$7*G20</f>
        <v>0</v>
      </c>
      <c r="H36" s="19" t="n">
        <f aca="false">H$7*H20</f>
        <v>1.84844648247543</v>
      </c>
      <c r="I36" s="19" t="n">
        <f aca="false">I$7*I20</f>
        <v>0</v>
      </c>
      <c r="J36" s="19" t="n">
        <f aca="false">J$7*J20</f>
        <v>0</v>
      </c>
      <c r="K36" s="19" t="n">
        <f aca="false">K$7*K20</f>
        <v>0</v>
      </c>
      <c r="L36" s="19" t="n">
        <f aca="false">L$7*L20</f>
        <v>0</v>
      </c>
      <c r="M36" s="19" t="n">
        <f aca="false">M$7*M20</f>
        <v>1.00405778800174</v>
      </c>
      <c r="N36" s="45" t="n">
        <f aca="false">SUM(C36:M36)</f>
        <v>11.1951649432312</v>
      </c>
    </row>
    <row r="37" customFormat="false" ht="15" hidden="false" customHeight="false" outlineLevel="0" collapsed="false">
      <c r="B37" s="7" t="s">
        <v>21</v>
      </c>
      <c r="C37" s="19" t="n">
        <f aca="false">C$7*C21</f>
        <v>0</v>
      </c>
      <c r="D37" s="19" t="n">
        <f aca="false">D$7*D21</f>
        <v>11.4428942815985</v>
      </c>
      <c r="E37" s="19" t="n">
        <f aca="false">E$7*E21</f>
        <v>0.492277117941933</v>
      </c>
      <c r="F37" s="19" t="n">
        <f aca="false">F$7*F21</f>
        <v>1.05652046290338</v>
      </c>
      <c r="G37" s="19" t="n">
        <f aca="false">G$7*G21</f>
        <v>0</v>
      </c>
      <c r="H37" s="19" t="n">
        <f aca="false">H$7*H21</f>
        <v>0.701980669636771</v>
      </c>
      <c r="I37" s="19" t="n">
        <f aca="false">I$7*I21</f>
        <v>0</v>
      </c>
      <c r="J37" s="19" t="n">
        <f aca="false">J$7*J21</f>
        <v>4.4670203262468</v>
      </c>
      <c r="K37" s="19" t="n">
        <f aca="false">K$7*K21</f>
        <v>3.58244370453343</v>
      </c>
      <c r="L37" s="19" t="n">
        <f aca="false">L$7*L21</f>
        <v>8.51094942133285</v>
      </c>
      <c r="M37" s="19" t="n">
        <f aca="false">M$7*M21</f>
        <v>3.050562717924</v>
      </c>
      <c r="N37" s="45" t="n">
        <f aca="false">SUM(C37:M37)</f>
        <v>33.3046487021177</v>
      </c>
    </row>
    <row r="38" customFormat="false" ht="15" hidden="false" customHeight="false" outlineLevel="0" collapsed="false">
      <c r="B38" s="13" t="s">
        <v>383</v>
      </c>
      <c r="C38" s="38" t="n">
        <f aca="false">SUM(C27:C37)</f>
        <v>0</v>
      </c>
      <c r="D38" s="38" t="n">
        <f aca="false">SUM(D27:D37)</f>
        <v>393.794577696476</v>
      </c>
      <c r="E38" s="38" t="n">
        <f aca="false">SUM(E27:E37)</f>
        <v>34.6795791239743</v>
      </c>
      <c r="F38" s="38" t="n">
        <f aca="false">SUM(F27:F37)</f>
        <v>37.3315594114477</v>
      </c>
      <c r="G38" s="38" t="n">
        <f aca="false">SUM(G27:G37)</f>
        <v>0</v>
      </c>
      <c r="H38" s="38" t="n">
        <f aca="false">SUM(H27:H37)</f>
        <v>49.6520490618737</v>
      </c>
      <c r="I38" s="38" t="n">
        <f aca="false">SUM(I27:I37)</f>
        <v>0</v>
      </c>
      <c r="J38" s="38" t="n">
        <f aca="false">SUM(J27:J37)</f>
        <v>196.767700037301</v>
      </c>
      <c r="K38" s="38" t="n">
        <f aca="false">SUM(K27:K37)</f>
        <v>319.746849744147</v>
      </c>
      <c r="L38" s="38" t="n">
        <f aca="false">SUM(L27:L37)</f>
        <v>146.233731745723</v>
      </c>
      <c r="M38" s="38" t="n">
        <f aca="false">SUM(M27:M37)</f>
        <v>185.456001488645</v>
      </c>
      <c r="N38" s="38" t="n">
        <f aca="false">SUM(N27:N37)</f>
        <v>1363.66204830959</v>
      </c>
    </row>
  </sheetData>
  <mergeCells count="2">
    <mergeCell ref="B2:N2"/>
    <mergeCell ref="B3:O3"/>
  </mergeCells>
  <hyperlinks>
    <hyperlink ref="B1" r:id="rId1" display="ALLOCATION OF REMAINING PRODUCT TO OTHER SECTORS, 2025"/>
    <hyperlink ref="N1" r:id="rId2" display="2025 demand data"/>
    <hyperlink ref="O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Z4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4" topLeftCell="C5" activePane="bottomRight" state="frozen"/>
      <selection pane="topLeft" activeCell="A1" activeCellId="0" sqref="A1"/>
      <selection pane="topRight" activeCell="C1" activeCellId="0" sqref="C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46"/>
    <col collapsed="false" customWidth="true" hidden="false" outlineLevel="0" max="13" min="3" style="0" width="10.51"/>
    <col collapsed="false" customWidth="true" hidden="false" outlineLevel="0" max="14" min="14" style="0" width="11"/>
    <col collapsed="false" customWidth="true" hidden="false" outlineLevel="0" max="18" min="15" style="0" width="10"/>
    <col collapsed="false" customWidth="true" hidden="false" outlineLevel="0" max="26" min="26" style="0" width="22"/>
  </cols>
  <sheetData>
    <row r="1" customFormat="false" ht="20.25" hidden="false" customHeight="true" outlineLevel="0" collapsed="false">
      <c r="B1" s="1" t="s">
        <v>384</v>
      </c>
      <c r="N1" s="2" t="s">
        <v>1</v>
      </c>
      <c r="O1" s="2" t="s">
        <v>2</v>
      </c>
    </row>
    <row r="2" customFormat="false" ht="16.5" hidden="false" customHeight="true" outlineLevel="0" collapsed="false">
      <c r="B2" s="56" t="s">
        <v>385</v>
      </c>
      <c r="C2" s="56"/>
      <c r="D2" s="56"/>
      <c r="E2" s="56"/>
      <c r="F2" s="56"/>
      <c r="G2" s="56"/>
      <c r="H2" s="56"/>
      <c r="I2" s="56"/>
      <c r="J2" s="56"/>
      <c r="K2" s="56"/>
      <c r="L2" s="56"/>
      <c r="M2" s="56"/>
      <c r="N2" s="56"/>
      <c r="O2" s="56"/>
    </row>
    <row r="3" customFormat="false" ht="41.25" hidden="false" customHeight="true" outlineLevel="0" collapsed="false">
      <c r="B3" s="4" t="s">
        <v>4</v>
      </c>
      <c r="C3" s="4"/>
      <c r="D3" s="4"/>
      <c r="E3" s="4"/>
      <c r="F3" s="4"/>
      <c r="G3" s="4"/>
      <c r="H3" s="4"/>
      <c r="I3" s="4"/>
      <c r="J3" s="4"/>
      <c r="K3" s="4"/>
      <c r="L3" s="4"/>
      <c r="M3" s="4"/>
      <c r="N3" s="4"/>
      <c r="O3" s="4"/>
    </row>
    <row r="4" customFormat="false" ht="31.5" hidden="false" customHeight="true" outlineLevel="0" collapsed="false">
      <c r="B4" s="5" t="s">
        <v>386</v>
      </c>
      <c r="C4" s="5" t="s">
        <v>242</v>
      </c>
      <c r="D4" s="5" t="s">
        <v>244</v>
      </c>
      <c r="E4" s="5" t="s">
        <v>245</v>
      </c>
      <c r="F4" s="5" t="s">
        <v>246</v>
      </c>
      <c r="G4" s="5" t="s">
        <v>247</v>
      </c>
      <c r="H4" s="5" t="s">
        <v>248</v>
      </c>
      <c r="I4" s="5" t="s">
        <v>249</v>
      </c>
      <c r="J4" s="5" t="s">
        <v>250</v>
      </c>
      <c r="K4" s="5" t="s">
        <v>251</v>
      </c>
      <c r="L4" s="5" t="s">
        <v>252</v>
      </c>
      <c r="M4" s="5" t="s">
        <v>36</v>
      </c>
      <c r="N4" s="5" t="s">
        <v>306</v>
      </c>
      <c r="O4" s="5" t="s">
        <v>289</v>
      </c>
      <c r="Z4" s="3" t="s">
        <v>387</v>
      </c>
    </row>
    <row r="5" customFormat="false" ht="15" hidden="false" customHeight="false" outlineLevel="0" collapsed="false">
      <c r="B5" s="7" t="s">
        <v>370</v>
      </c>
      <c r="C5" s="36" t="n">
        <f aca="false">'Sector build'!C67+'Residual allocation'!C27</f>
        <v>6</v>
      </c>
      <c r="D5" s="36" t="n">
        <f aca="false">'Sector build'!D67+'Residual allocation'!D27</f>
        <v>172.986648871735</v>
      </c>
      <c r="E5" s="36" t="n">
        <f aca="false">'Sector build'!E67+'Residual allocation'!E27</f>
        <v>10.6316598445384</v>
      </c>
      <c r="F5" s="36" t="n">
        <f aca="false">'Sector build'!F67+'Residual allocation'!F27</f>
        <v>32.704611274874</v>
      </c>
      <c r="G5" s="36" t="n">
        <f aca="false">'Sector build'!G67+'Residual allocation'!G27</f>
        <v>0</v>
      </c>
      <c r="H5" s="36" t="n">
        <f aca="false">'Sector build'!H67+'Residual allocation'!H27</f>
        <v>42.1962973747428</v>
      </c>
      <c r="I5" s="36" t="n">
        <f aca="false">'Sector build'!I67+'Residual allocation'!I27</f>
        <v>0</v>
      </c>
      <c r="J5" s="36" t="n">
        <f aca="false">'Sector build'!J67+'Residual allocation'!J27</f>
        <v>148.725291931594</v>
      </c>
      <c r="K5" s="36" t="n">
        <f aca="false">'Sector build'!K67+'Residual allocation'!K27</f>
        <v>312.684920820698</v>
      </c>
      <c r="L5" s="36" t="n">
        <f aca="false">'Sector build'!L67+'Residual allocation'!L27</f>
        <v>76.5847988212115</v>
      </c>
      <c r="M5" s="36" t="n">
        <f aca="false">'Sector build'!M67+'Residual allocation'!M27</f>
        <v>0</v>
      </c>
      <c r="N5" s="45" t="n">
        <f aca="false">SUM(C5:M5)</f>
        <v>802.514228939393</v>
      </c>
      <c r="O5" s="23" t="n">
        <f aca="false">N5/$N$28</f>
        <v>0.467121270348445</v>
      </c>
      <c r="Z5" s="3" t="s">
        <v>13</v>
      </c>
    </row>
    <row r="6" customFormat="false" ht="15" hidden="false" customHeight="false" outlineLevel="0" collapsed="false">
      <c r="B6" s="7" t="s">
        <v>371</v>
      </c>
      <c r="C6" s="36" t="n">
        <f aca="false">'Residual allocation'!C28</f>
        <v>0</v>
      </c>
      <c r="D6" s="36" t="n">
        <f aca="false">'Residual allocation'!D28</f>
        <v>0</v>
      </c>
      <c r="E6" s="36" t="n">
        <f aca="false">'Residual allocation'!E28</f>
        <v>0</v>
      </c>
      <c r="F6" s="36" t="n">
        <f aca="false">'Residual allocation'!F28</f>
        <v>0</v>
      </c>
      <c r="G6" s="36" t="n">
        <f aca="false">'Residual allocation'!G28</f>
        <v>0</v>
      </c>
      <c r="H6" s="36" t="n">
        <f aca="false">'Residual allocation'!H28</f>
        <v>0</v>
      </c>
      <c r="I6" s="36" t="n">
        <f aca="false">'Residual allocation'!I28</f>
        <v>0</v>
      </c>
      <c r="J6" s="36" t="n">
        <f aca="false">'Residual allocation'!J28</f>
        <v>0</v>
      </c>
      <c r="K6" s="36" t="n">
        <f aca="false">'Residual allocation'!K28</f>
        <v>0</v>
      </c>
      <c r="L6" s="36" t="n">
        <f aca="false">'Residual allocation'!L28</f>
        <v>0</v>
      </c>
      <c r="M6" s="36" t="n">
        <f aca="false">'Residual allocation'!M28</f>
        <v>39.527310805973</v>
      </c>
      <c r="N6" s="45" t="n">
        <f aca="false">SUM(C6:M6)</f>
        <v>39.527310805973</v>
      </c>
      <c r="O6" s="23" t="n">
        <f aca="false">N6/$N$28</f>
        <v>0.0230077511043588</v>
      </c>
      <c r="Z6" s="3" t="s">
        <v>13</v>
      </c>
    </row>
    <row r="7" customFormat="false" ht="15" hidden="false" customHeight="false" outlineLevel="0" collapsed="false">
      <c r="B7" s="7" t="s">
        <v>372</v>
      </c>
      <c r="C7" s="36" t="n">
        <f aca="false">'Residual allocation'!C29</f>
        <v>0</v>
      </c>
      <c r="D7" s="36" t="n">
        <f aca="false">'Residual allocation'!D29</f>
        <v>139.9307113748</v>
      </c>
      <c r="E7" s="36" t="n">
        <f aca="false">'Residual allocation'!E29</f>
        <v>18.920087543596</v>
      </c>
      <c r="F7" s="36" t="n">
        <f aca="false">'Residual allocation'!F29</f>
        <v>1.1074407099406</v>
      </c>
      <c r="G7" s="36" t="n">
        <f aca="false">'Residual allocation'!G29</f>
        <v>0</v>
      </c>
      <c r="H7" s="36" t="n">
        <f aca="false">'Residual allocation'!H29</f>
        <v>4.90532453501875</v>
      </c>
      <c r="I7" s="36" t="n">
        <f aca="false">'Residual allocation'!I29</f>
        <v>0</v>
      </c>
      <c r="J7" s="36" t="n">
        <f aca="false">'Residual allocation'!J29</f>
        <v>37.0670993330267</v>
      </c>
      <c r="K7" s="36" t="n">
        <f aca="false">'Residual allocation'!K29</f>
        <v>0</v>
      </c>
      <c r="L7" s="36" t="n">
        <f aca="false">'Residual allocation'!L29</f>
        <v>44.6042128570805</v>
      </c>
      <c r="M7" s="36" t="n">
        <f aca="false">'Residual allocation'!M29</f>
        <v>0</v>
      </c>
      <c r="N7" s="45" t="n">
        <f aca="false">SUM(C7:M7)</f>
        <v>246.534876353462</v>
      </c>
      <c r="O7" s="23" t="n">
        <f aca="false">N7/$N$28</f>
        <v>0.143501112472017</v>
      </c>
      <c r="Z7" s="3" t="s">
        <v>14</v>
      </c>
    </row>
    <row r="8" customFormat="false" ht="15" hidden="false" customHeight="false" outlineLevel="0" collapsed="false">
      <c r="B8" s="7" t="s">
        <v>373</v>
      </c>
      <c r="C8" s="36" t="n">
        <f aca="false">'Residual allocation'!C30</f>
        <v>0</v>
      </c>
      <c r="D8" s="36" t="n">
        <f aca="false">'Residual allocation'!D30</f>
        <v>0</v>
      </c>
      <c r="E8" s="36" t="n">
        <f aca="false">'Residual allocation'!E30</f>
        <v>0</v>
      </c>
      <c r="F8" s="36" t="n">
        <f aca="false">'Residual allocation'!F30</f>
        <v>0</v>
      </c>
      <c r="G8" s="36" t="n">
        <f aca="false">'Residual allocation'!G30</f>
        <v>0</v>
      </c>
      <c r="H8" s="36" t="n">
        <f aca="false">'Residual allocation'!H30</f>
        <v>0</v>
      </c>
      <c r="I8" s="36" t="n">
        <f aca="false">'Residual allocation'!I30</f>
        <v>0</v>
      </c>
      <c r="J8" s="36" t="n">
        <f aca="false">'Residual allocation'!J30</f>
        <v>0</v>
      </c>
      <c r="K8" s="36" t="n">
        <f aca="false">'Residual allocation'!K30</f>
        <v>0</v>
      </c>
      <c r="L8" s="36" t="n">
        <f aca="false">'Residual allocation'!L30</f>
        <v>0</v>
      </c>
      <c r="M8" s="36" t="n">
        <f aca="false">'Residual allocation'!M30</f>
        <v>22.381920613738</v>
      </c>
      <c r="N8" s="45" t="n">
        <f aca="false">SUM(C8:M8)</f>
        <v>22.381920613738</v>
      </c>
      <c r="O8" s="23" t="n">
        <f aca="false">N8/$N$28</f>
        <v>0.0130278950988132</v>
      </c>
      <c r="Z8" s="3" t="s">
        <v>14</v>
      </c>
    </row>
    <row r="9" customFormat="false" ht="15" hidden="false" customHeight="false" outlineLevel="0" collapsed="false">
      <c r="B9" s="7" t="s">
        <v>296</v>
      </c>
      <c r="C9" s="36" t="n">
        <f aca="false">'Sector build'!C60</f>
        <v>0</v>
      </c>
      <c r="D9" s="36" t="n">
        <f aca="false">'Sector build'!D60</f>
        <v>1.0078125</v>
      </c>
      <c r="E9" s="36" t="n">
        <f aca="false">'Sector build'!E60</f>
        <v>1.0078125</v>
      </c>
      <c r="F9" s="36" t="n">
        <f aca="false">'Sector build'!F60</f>
        <v>7.55859375</v>
      </c>
      <c r="G9" s="36" t="n">
        <f aca="false">'Sector build'!G60</f>
        <v>0</v>
      </c>
      <c r="H9" s="36" t="n">
        <f aca="false">'Sector build'!H60</f>
        <v>0</v>
      </c>
      <c r="I9" s="36" t="n">
        <f aca="false">'Sector build'!I60</f>
        <v>0</v>
      </c>
      <c r="J9" s="36" t="n">
        <f aca="false">'Sector build'!J60</f>
        <v>0.50390625</v>
      </c>
      <c r="K9" s="36" t="n">
        <f aca="false">'Sector build'!K60</f>
        <v>0</v>
      </c>
      <c r="L9" s="36" t="n">
        <f aca="false">'Sector build'!L60</f>
        <v>0</v>
      </c>
      <c r="M9" s="36" t="n">
        <f aca="false">'Sector build'!M60</f>
        <v>0</v>
      </c>
      <c r="N9" s="45" t="n">
        <f aca="false">SUM(C9:M9)</f>
        <v>10.078125</v>
      </c>
      <c r="O9" s="23" t="n">
        <f aca="false">N9/$N$28</f>
        <v>0.00586619698812338</v>
      </c>
      <c r="Z9" s="3" t="s">
        <v>14</v>
      </c>
    </row>
    <row r="10" customFormat="false" ht="15" hidden="false" customHeight="false" outlineLevel="0" collapsed="false">
      <c r="B10" s="7" t="s">
        <v>15</v>
      </c>
      <c r="C10" s="36" t="n">
        <f aca="false">'Sector build'!C53</f>
        <v>0</v>
      </c>
      <c r="D10" s="36" t="n">
        <f aca="false">'Sector build'!D53</f>
        <v>6.398039375</v>
      </c>
      <c r="E10" s="36" t="n">
        <f aca="false">'Sector build'!E53</f>
        <v>25.5921575</v>
      </c>
      <c r="F10" s="36" t="n">
        <f aca="false">'Sector build'!F53</f>
        <v>65.260001625</v>
      </c>
      <c r="G10" s="36" t="n">
        <f aca="false">'Sector build'!G53</f>
        <v>0</v>
      </c>
      <c r="H10" s="36" t="n">
        <f aca="false">'Sector build'!H53</f>
        <v>0</v>
      </c>
      <c r="I10" s="36" t="n">
        <f aca="false">'Sector build'!I53</f>
        <v>0</v>
      </c>
      <c r="J10" s="36" t="n">
        <f aca="false">'Sector build'!J53</f>
        <v>19.194118125</v>
      </c>
      <c r="K10" s="36" t="n">
        <f aca="false">'Sector build'!K53</f>
        <v>0</v>
      </c>
      <c r="L10" s="36" t="n">
        <f aca="false">'Sector build'!L53</f>
        <v>10.236863</v>
      </c>
      <c r="M10" s="36" t="n">
        <f aca="false">'Sector build'!M53</f>
        <v>1.279607875</v>
      </c>
      <c r="N10" s="45" t="n">
        <f aca="false">SUM(C10:M10)</f>
        <v>127.9607875</v>
      </c>
      <c r="O10" s="23" t="n">
        <f aca="false">N10/$N$28</f>
        <v>0.0744824246802254</v>
      </c>
      <c r="Z10" s="3" t="s">
        <v>15</v>
      </c>
    </row>
    <row r="11" customFormat="false" ht="15" hidden="false" customHeight="false" outlineLevel="0" collapsed="false">
      <c r="B11" s="7" t="s">
        <v>293</v>
      </c>
      <c r="C11" s="36" t="n">
        <f aca="false">'Sector build'!C56</f>
        <v>0</v>
      </c>
      <c r="D11" s="36" t="n">
        <f aca="false">'Sector build'!D56</f>
        <v>22.3872944385027</v>
      </c>
      <c r="E11" s="36" t="n">
        <f aca="false">'Sector build'!E56</f>
        <v>0</v>
      </c>
      <c r="F11" s="36" t="n">
        <f aca="false">'Sector build'!F56</f>
        <v>0</v>
      </c>
      <c r="G11" s="36" t="n">
        <f aca="false">'Sector build'!G56</f>
        <v>0</v>
      </c>
      <c r="H11" s="36" t="n">
        <f aca="false">'Sector build'!H56</f>
        <v>0</v>
      </c>
      <c r="I11" s="36" t="n">
        <f aca="false">'Sector build'!I56</f>
        <v>0</v>
      </c>
      <c r="J11" s="36" t="n">
        <f aca="false">'Sector build'!J56</f>
        <v>1.6696537254902</v>
      </c>
      <c r="K11" s="36" t="n">
        <f aca="false">'Sector build'!K56</f>
        <v>0</v>
      </c>
      <c r="L11" s="36" t="n">
        <f aca="false">'Sector build'!L56</f>
        <v>0.273713725490196</v>
      </c>
      <c r="M11" s="36" t="n">
        <f aca="false">'Sector build'!M56</f>
        <v>0.552404064171123</v>
      </c>
      <c r="N11" s="45" t="n">
        <f aca="false">SUM(C11:M11)</f>
        <v>24.8830659536542</v>
      </c>
      <c r="O11" s="23" t="n">
        <f aca="false">N11/$N$28</f>
        <v>0.0144837424176225</v>
      </c>
      <c r="Z11" s="3" t="s">
        <v>16</v>
      </c>
    </row>
    <row r="12" customFormat="false" ht="15" hidden="false" customHeight="false" outlineLevel="0" collapsed="false">
      <c r="B12" s="7" t="s">
        <v>388</v>
      </c>
      <c r="C12" s="36" t="n">
        <f aca="false">'Sector build'!C58+'Residual allocation'!C31</f>
        <v>0</v>
      </c>
      <c r="D12" s="36" t="n">
        <f aca="false">'Sector build'!D58+'Residual allocation'!D31</f>
        <v>4.10491878282685</v>
      </c>
      <c r="E12" s="36" t="n">
        <f aca="false">'Sector build'!E58+'Residual allocation'!E31</f>
        <v>0</v>
      </c>
      <c r="F12" s="36" t="n">
        <f aca="false">'Sector build'!F58+'Residual allocation'!F31</f>
        <v>0</v>
      </c>
      <c r="G12" s="36" t="n">
        <f aca="false">'Sector build'!G58+'Residual allocation'!G31</f>
        <v>0</v>
      </c>
      <c r="H12" s="36" t="n">
        <f aca="false">'Sector build'!H58+'Residual allocation'!H31</f>
        <v>0</v>
      </c>
      <c r="I12" s="36" t="n">
        <f aca="false">'Sector build'!I58+'Residual allocation'!I31</f>
        <v>11.8424340724631</v>
      </c>
      <c r="J12" s="36" t="n">
        <f aca="false">'Sector build'!J58+'Residual allocation'!J31</f>
        <v>0</v>
      </c>
      <c r="K12" s="36" t="n">
        <f aca="false">'Sector build'!K58+'Residual allocation'!K31</f>
        <v>0</v>
      </c>
      <c r="L12" s="36" t="n">
        <f aca="false">'Sector build'!L58+'Residual allocation'!L31</f>
        <v>0</v>
      </c>
      <c r="M12" s="36" t="n">
        <f aca="false">'Sector build'!M58+'Residual allocation'!M31</f>
        <v>0</v>
      </c>
      <c r="N12" s="45" t="n">
        <f aca="false">SUM(C12:M12)</f>
        <v>15.94735285529</v>
      </c>
      <c r="O12" s="23" t="n">
        <f aca="false">N12/$N$28</f>
        <v>0.00928251170612023</v>
      </c>
      <c r="Z12" s="3" t="s">
        <v>16</v>
      </c>
    </row>
    <row r="13" customFormat="false" ht="15" hidden="false" customHeight="false" outlineLevel="0" collapsed="false">
      <c r="B13" s="7" t="s">
        <v>291</v>
      </c>
      <c r="C13" s="36" t="n">
        <f aca="false">'Sector build'!C54</f>
        <v>0</v>
      </c>
      <c r="D13" s="36" t="n">
        <f aca="false">'Sector build'!D54</f>
        <v>3.9609375</v>
      </c>
      <c r="E13" s="36" t="n">
        <f aca="false">'Sector build'!E54</f>
        <v>3.16875</v>
      </c>
      <c r="F13" s="36" t="n">
        <f aca="false">'Sector build'!F54</f>
        <v>4.9115625</v>
      </c>
      <c r="G13" s="36" t="n">
        <f aca="false">'Sector build'!G54</f>
        <v>0</v>
      </c>
      <c r="H13" s="36" t="n">
        <f aca="false">'Sector build'!H54</f>
        <v>0</v>
      </c>
      <c r="I13" s="36" t="n">
        <f aca="false">'Sector build'!I54</f>
        <v>0</v>
      </c>
      <c r="J13" s="36" t="n">
        <f aca="false">'Sector build'!J54</f>
        <v>2.3765625</v>
      </c>
      <c r="K13" s="36" t="n">
        <f aca="false">'Sector build'!K54</f>
        <v>0</v>
      </c>
      <c r="L13" s="36" t="n">
        <f aca="false">'Sector build'!L54</f>
        <v>1.2675</v>
      </c>
      <c r="M13" s="36" t="n">
        <f aca="false">'Sector build'!M54</f>
        <v>0.1584375</v>
      </c>
      <c r="N13" s="45" t="n">
        <f aca="false">SUM(C13:M13)</f>
        <v>15.84375</v>
      </c>
      <c r="O13" s="23" t="n">
        <f aca="false">N13/$N$28</f>
        <v>0.00922220735807304</v>
      </c>
      <c r="Z13" s="3" t="s">
        <v>16</v>
      </c>
    </row>
    <row r="14" customFormat="false" ht="15" hidden="false" customHeight="false" outlineLevel="0" collapsed="false">
      <c r="B14" s="7" t="s">
        <v>292</v>
      </c>
      <c r="C14" s="36" t="n">
        <f aca="false">'Sector build'!C55</f>
        <v>0</v>
      </c>
      <c r="D14" s="36" t="n">
        <f aca="false">'Sector build'!D55</f>
        <v>0.4875</v>
      </c>
      <c r="E14" s="36" t="n">
        <f aca="false">'Sector build'!E55</f>
        <v>0.65</v>
      </c>
      <c r="F14" s="36" t="n">
        <f aca="false">'Sector build'!F55</f>
        <v>1.3325</v>
      </c>
      <c r="G14" s="36" t="n">
        <f aca="false">'Sector build'!G55</f>
        <v>0</v>
      </c>
      <c r="H14" s="36" t="n">
        <f aca="false">'Sector build'!H55</f>
        <v>0</v>
      </c>
      <c r="I14" s="36" t="n">
        <f aca="false">'Sector build'!I55</f>
        <v>0</v>
      </c>
      <c r="J14" s="36" t="n">
        <f aca="false">'Sector build'!J55</f>
        <v>0.4875</v>
      </c>
      <c r="K14" s="36" t="n">
        <f aca="false">'Sector build'!K55</f>
        <v>0</v>
      </c>
      <c r="L14" s="36" t="n">
        <f aca="false">'Sector build'!L55</f>
        <v>0.26</v>
      </c>
      <c r="M14" s="36" t="n">
        <f aca="false">'Sector build'!M55</f>
        <v>0.0325</v>
      </c>
      <c r="N14" s="45" t="n">
        <f aca="false">SUM(C14:M14)</f>
        <v>3.25</v>
      </c>
      <c r="O14" s="23" t="n">
        <f aca="false">N14/$N$28</f>
        <v>0.00189173484268165</v>
      </c>
      <c r="Z14" s="3" t="s">
        <v>16</v>
      </c>
    </row>
    <row r="15" customFormat="false" ht="15" hidden="false" customHeight="false" outlineLevel="0" collapsed="false">
      <c r="B15" s="7" t="s">
        <v>294</v>
      </c>
      <c r="C15" s="36" t="n">
        <f aca="false">'Sector build'!C57</f>
        <v>0</v>
      </c>
      <c r="D15" s="36" t="n">
        <f aca="false">'Sector build'!D57</f>
        <v>0.1</v>
      </c>
      <c r="E15" s="36" t="n">
        <f aca="false">'Sector build'!E57</f>
        <v>0</v>
      </c>
      <c r="F15" s="36" t="n">
        <f aca="false">'Sector build'!F57</f>
        <v>0</v>
      </c>
      <c r="G15" s="36" t="n">
        <f aca="false">'Sector build'!G57</f>
        <v>0</v>
      </c>
      <c r="H15" s="36" t="n">
        <f aca="false">'Sector build'!H57</f>
        <v>0</v>
      </c>
      <c r="I15" s="36" t="n">
        <f aca="false">'Sector build'!I57</f>
        <v>0</v>
      </c>
      <c r="J15" s="36" t="n">
        <f aca="false">'Sector build'!J57</f>
        <v>0</v>
      </c>
      <c r="K15" s="36" t="n">
        <f aca="false">'Sector build'!K57</f>
        <v>0</v>
      </c>
      <c r="L15" s="36" t="n">
        <f aca="false">'Sector build'!L57</f>
        <v>0</v>
      </c>
      <c r="M15" s="36" t="n">
        <f aca="false">'Sector build'!M57</f>
        <v>0</v>
      </c>
      <c r="N15" s="45" t="n">
        <f aca="false">SUM(C15:M15)</f>
        <v>0.1</v>
      </c>
      <c r="O15" s="23" t="n">
        <f aca="false">N15/$N$28</f>
        <v>5.82072259286661E-005</v>
      </c>
      <c r="Z15" s="3" t="s">
        <v>16</v>
      </c>
    </row>
    <row r="16" customFormat="false" ht="15" hidden="false" customHeight="false" outlineLevel="0" collapsed="false">
      <c r="B16" s="7" t="s">
        <v>17</v>
      </c>
      <c r="C16" s="36" t="n">
        <f aca="false">'Sector build'!C59</f>
        <v>0</v>
      </c>
      <c r="D16" s="36" t="n">
        <f aca="false">'Sector build'!D59</f>
        <v>8.820864</v>
      </c>
      <c r="E16" s="36" t="n">
        <f aca="false">'Sector build'!E59</f>
        <v>16.171584</v>
      </c>
      <c r="F16" s="36" t="n">
        <f aca="false">'Sector build'!F59</f>
        <v>23.522304</v>
      </c>
      <c r="G16" s="36" t="n">
        <f aca="false">'Sector build'!G59</f>
        <v>0</v>
      </c>
      <c r="H16" s="36" t="n">
        <f aca="false">'Sector build'!H59</f>
        <v>0</v>
      </c>
      <c r="I16" s="36" t="n">
        <f aca="false">'Sector build'!I59</f>
        <v>0</v>
      </c>
      <c r="J16" s="36" t="n">
        <f aca="false">'Sector build'!J59</f>
        <v>5.880576</v>
      </c>
      <c r="K16" s="36" t="n">
        <f aca="false">'Sector build'!K59</f>
        <v>0</v>
      </c>
      <c r="L16" s="36" t="n">
        <f aca="false">'Sector build'!L59</f>
        <v>2.940288</v>
      </c>
      <c r="M16" s="36" t="n">
        <f aca="false">'Sector build'!M59</f>
        <v>1.470144</v>
      </c>
      <c r="N16" s="45" t="n">
        <f aca="false">SUM(C16:M16)</f>
        <v>58.80576</v>
      </c>
      <c r="O16" s="23" t="n">
        <f aca="false">N16/$N$28</f>
        <v>0.0342292015822692</v>
      </c>
      <c r="Z16" s="3" t="s">
        <v>17</v>
      </c>
    </row>
    <row r="17" customFormat="false" ht="15" hidden="false" customHeight="false" outlineLevel="0" collapsed="false">
      <c r="B17" s="7" t="s">
        <v>297</v>
      </c>
      <c r="C17" s="36" t="n">
        <f aca="false">'Sector build'!C61</f>
        <v>0</v>
      </c>
      <c r="D17" s="36" t="n">
        <f aca="false">'Sector build'!D61</f>
        <v>11.4063157894737</v>
      </c>
      <c r="E17" s="36" t="n">
        <f aca="false">'Sector build'!E61</f>
        <v>0</v>
      </c>
      <c r="F17" s="36" t="n">
        <f aca="false">'Sector build'!F61</f>
        <v>0</v>
      </c>
      <c r="G17" s="36" t="n">
        <f aca="false">'Sector build'!G61</f>
        <v>0</v>
      </c>
      <c r="H17" s="36" t="n">
        <f aca="false">'Sector build'!H61</f>
        <v>0</v>
      </c>
      <c r="I17" s="36" t="n">
        <f aca="false">'Sector build'!I61</f>
        <v>0</v>
      </c>
      <c r="J17" s="36" t="n">
        <f aca="false">'Sector build'!J61</f>
        <v>2.85157894736842</v>
      </c>
      <c r="K17" s="36" t="n">
        <f aca="false">'Sector build'!K61</f>
        <v>0</v>
      </c>
      <c r="L17" s="36" t="n">
        <f aca="false">'Sector build'!L61</f>
        <v>0</v>
      </c>
      <c r="M17" s="36" t="n">
        <f aca="false">'Sector build'!M61</f>
        <v>0</v>
      </c>
      <c r="N17" s="45" t="n">
        <f aca="false">SUM(C17:M17)</f>
        <v>14.2578947368421</v>
      </c>
      <c r="O17" s="23" t="n">
        <f aca="false">N17/$N$28</f>
        <v>0.00829912500214508</v>
      </c>
      <c r="Z17" s="3" t="s">
        <v>18</v>
      </c>
    </row>
    <row r="18" customFormat="false" ht="15" hidden="false" customHeight="false" outlineLevel="0" collapsed="false">
      <c r="B18" s="7" t="s">
        <v>375</v>
      </c>
      <c r="C18" s="36" t="n">
        <f aca="false">'Sector build'!C62+'Residual allocation'!C32</f>
        <v>0</v>
      </c>
      <c r="D18" s="36" t="n">
        <f aca="false">'Sector build'!D62+'Residual allocation'!D32</f>
        <v>57.7968941708283</v>
      </c>
      <c r="E18" s="36" t="n">
        <f aca="false">'Sector build'!E62+'Residual allocation'!E32</f>
        <v>0</v>
      </c>
      <c r="F18" s="36" t="n">
        <f aca="false">'Sector build'!F62+'Residual allocation'!F32</f>
        <v>0</v>
      </c>
      <c r="G18" s="36" t="n">
        <f aca="false">'Sector build'!G62+'Residual allocation'!G32</f>
        <v>10.42576199154</v>
      </c>
      <c r="H18" s="36" t="n">
        <f aca="false">'Sector build'!H62+'Residual allocation'!H32</f>
        <v>0</v>
      </c>
      <c r="I18" s="36" t="n">
        <f aca="false">'Sector build'!I62+'Residual allocation'!I32</f>
        <v>0</v>
      </c>
      <c r="J18" s="36" t="n">
        <f aca="false">'Sector build'!J62+'Residual allocation'!J32</f>
        <v>0</v>
      </c>
      <c r="K18" s="36" t="n">
        <f aca="false">'Sector build'!K62+'Residual allocation'!K32</f>
        <v>0</v>
      </c>
      <c r="L18" s="36" t="n">
        <f aca="false">'Sector build'!L62+'Residual allocation'!L32</f>
        <v>0</v>
      </c>
      <c r="M18" s="36" t="n">
        <f aca="false">'Sector build'!M62+'Residual allocation'!M32</f>
        <v>0</v>
      </c>
      <c r="N18" s="45" t="n">
        <f aca="false">SUM(C18:M18)</f>
        <v>68.2226561623683</v>
      </c>
      <c r="O18" s="23" t="n">
        <f aca="false">N18/$N$28</f>
        <v>0.0397105156069668</v>
      </c>
      <c r="Z18" s="3" t="s">
        <v>18</v>
      </c>
    </row>
    <row r="19" customFormat="false" ht="15" hidden="false" customHeight="false" outlineLevel="0" collapsed="false">
      <c r="B19" s="7" t="s">
        <v>300</v>
      </c>
      <c r="C19" s="36" t="n">
        <f aca="false">'Sector build'!C64</f>
        <v>0</v>
      </c>
      <c r="D19" s="36" t="n">
        <f aca="false">'Sector build'!D64</f>
        <v>0</v>
      </c>
      <c r="E19" s="36" t="n">
        <f aca="false">'Sector build'!E64</f>
        <v>0</v>
      </c>
      <c r="F19" s="36" t="n">
        <f aca="false">'Sector build'!F64</f>
        <v>0</v>
      </c>
      <c r="G19" s="36" t="n">
        <f aca="false">'Sector build'!G64</f>
        <v>0</v>
      </c>
      <c r="H19" s="36" t="n">
        <f aca="false">'Sector build'!H64</f>
        <v>0</v>
      </c>
      <c r="I19" s="36" t="n">
        <f aca="false">'Sector build'!I64</f>
        <v>0</v>
      </c>
      <c r="J19" s="36" t="n">
        <f aca="false">'Sector build'!J64</f>
        <v>3.07371428571429</v>
      </c>
      <c r="K19" s="36" t="n">
        <f aca="false">'Sector build'!K64</f>
        <v>0</v>
      </c>
      <c r="L19" s="36" t="n">
        <f aca="false">'Sector build'!L64</f>
        <v>27.6634285714286</v>
      </c>
      <c r="M19" s="36" t="n">
        <f aca="false">'Sector build'!M64</f>
        <v>0</v>
      </c>
      <c r="N19" s="45" t="n">
        <f aca="false">SUM(C19:M19)</f>
        <v>30.7371428571429</v>
      </c>
      <c r="O19" s="23" t="n">
        <f aca="false">N19/$N$28</f>
        <v>0.017891238186874</v>
      </c>
      <c r="Z19" s="3" t="s">
        <v>18</v>
      </c>
    </row>
    <row r="20" customFormat="false" ht="15" hidden="false" customHeight="false" outlineLevel="0" collapsed="false">
      <c r="B20" s="7" t="s">
        <v>299</v>
      </c>
      <c r="C20" s="36" t="n">
        <f aca="false">'Sector build'!C63</f>
        <v>0</v>
      </c>
      <c r="D20" s="36" t="n">
        <f aca="false">'Sector build'!D63</f>
        <v>0</v>
      </c>
      <c r="E20" s="36" t="n">
        <f aca="false">'Sector build'!E63</f>
        <v>0</v>
      </c>
      <c r="F20" s="36" t="n">
        <f aca="false">'Sector build'!F63</f>
        <v>0</v>
      </c>
      <c r="G20" s="36" t="n">
        <f aca="false">'Sector build'!G63</f>
        <v>0</v>
      </c>
      <c r="H20" s="36" t="n">
        <f aca="false">'Sector build'!H63</f>
        <v>0</v>
      </c>
      <c r="I20" s="36" t="n">
        <f aca="false">'Sector build'!I63</f>
        <v>0</v>
      </c>
      <c r="J20" s="36" t="n">
        <f aca="false">'Sector build'!J63</f>
        <v>0</v>
      </c>
      <c r="K20" s="36" t="n">
        <f aca="false">'Sector build'!K63</f>
        <v>0</v>
      </c>
      <c r="L20" s="36" t="n">
        <f aca="false">'Sector build'!L63</f>
        <v>38.5</v>
      </c>
      <c r="M20" s="36" t="n">
        <f aca="false">'Sector build'!M63</f>
        <v>0</v>
      </c>
      <c r="N20" s="45" t="n">
        <f aca="false">SUM(C20:M20)</f>
        <v>38.5</v>
      </c>
      <c r="O20" s="23" t="n">
        <f aca="false">N20/$N$28</f>
        <v>0.0224097819825365</v>
      </c>
      <c r="Z20" s="3" t="s">
        <v>18</v>
      </c>
    </row>
    <row r="21" customFormat="false" ht="15" hidden="false" customHeight="false" outlineLevel="0" collapsed="false">
      <c r="B21" s="7" t="s">
        <v>377</v>
      </c>
      <c r="C21" s="36" t="n">
        <f aca="false">'Residual allocation'!C34</f>
        <v>0</v>
      </c>
      <c r="D21" s="36" t="n">
        <f aca="false">'Residual allocation'!D34</f>
        <v>0</v>
      </c>
      <c r="E21" s="36" t="n">
        <f aca="false">'Residual allocation'!E34</f>
        <v>0</v>
      </c>
      <c r="F21" s="36" t="n">
        <f aca="false">'Residual allocation'!F34</f>
        <v>0</v>
      </c>
      <c r="G21" s="36" t="n">
        <f aca="false">'Residual allocation'!G34</f>
        <v>0</v>
      </c>
      <c r="H21" s="36" t="n">
        <f aca="false">'Residual allocation'!H34</f>
        <v>0</v>
      </c>
      <c r="I21" s="36" t="n">
        <f aca="false">'Residual allocation'!I34</f>
        <v>0</v>
      </c>
      <c r="J21" s="36" t="n">
        <f aca="false">'Residual allocation'!J34</f>
        <v>0</v>
      </c>
      <c r="K21" s="36" t="n">
        <f aca="false">'Residual allocation'!K34</f>
        <v>0</v>
      </c>
      <c r="L21" s="36" t="n">
        <f aca="false">'Residual allocation'!L34</f>
        <v>0</v>
      </c>
      <c r="M21" s="36" t="n">
        <f aca="false">'Residual allocation'!M34</f>
        <v>11.852110291026</v>
      </c>
      <c r="N21" s="45" t="n">
        <f aca="false">SUM(C21:M21)</f>
        <v>11.852110291026</v>
      </c>
      <c r="O21" s="23" t="n">
        <f aca="false">N21/$N$28</f>
        <v>0.00689878461441221</v>
      </c>
      <c r="Z21" s="3" t="s">
        <v>18</v>
      </c>
    </row>
    <row r="22" customFormat="false" ht="15" hidden="false" customHeight="false" outlineLevel="0" collapsed="false">
      <c r="B22" s="7" t="s">
        <v>376</v>
      </c>
      <c r="C22" s="36" t="n">
        <f aca="false">'Residual allocation'!C33</f>
        <v>0</v>
      </c>
      <c r="D22" s="36" t="n">
        <f aca="false">'Residual allocation'!D33</f>
        <v>0</v>
      </c>
      <c r="E22" s="36" t="n">
        <f aca="false">'Residual allocation'!E33</f>
        <v>3.82540415983239</v>
      </c>
      <c r="F22" s="36" t="n">
        <f aca="false">'Residual allocation'!F33</f>
        <v>2.46298696372967</v>
      </c>
      <c r="G22" s="36" t="n">
        <f aca="false">'Residual allocation'!G33</f>
        <v>0</v>
      </c>
      <c r="H22" s="36" t="n">
        <f aca="false">'Residual allocation'!H33</f>
        <v>0</v>
      </c>
      <c r="I22" s="36" t="n">
        <f aca="false">'Residual allocation'!I33</f>
        <v>0</v>
      </c>
      <c r="J22" s="36" t="n">
        <f aca="false">'Residual allocation'!J33</f>
        <v>6.50828844643376</v>
      </c>
      <c r="K22" s="36" t="n">
        <f aca="false">'Residual allocation'!K33</f>
        <v>3.47948521891581</v>
      </c>
      <c r="L22" s="36" t="n">
        <f aca="false">'Residual allocation'!L33</f>
        <v>16.5337706460985</v>
      </c>
      <c r="M22" s="36" t="n">
        <f aca="false">'Residual allocation'!M33</f>
        <v>0</v>
      </c>
      <c r="N22" s="45" t="n">
        <f aca="false">SUM(C22:M22)</f>
        <v>32.8099354350101</v>
      </c>
      <c r="O22" s="23" t="n">
        <f aca="false">N22/$N$28</f>
        <v>0.0190977532457058</v>
      </c>
      <c r="Z22" s="3" t="s">
        <v>18</v>
      </c>
    </row>
    <row r="23" customFormat="false" ht="15" hidden="false" customHeight="false" outlineLevel="0" collapsed="false">
      <c r="B23" s="7" t="s">
        <v>301</v>
      </c>
      <c r="C23" s="36" t="n">
        <f aca="false">'Sector build'!C65</f>
        <v>0</v>
      </c>
      <c r="D23" s="36" t="n">
        <f aca="false">'Sector build'!D65</f>
        <v>0.324</v>
      </c>
      <c r="E23" s="36" t="n">
        <f aca="false">'Sector build'!E65</f>
        <v>0.0216</v>
      </c>
      <c r="F23" s="36" t="n">
        <f aca="false">'Sector build'!F65</f>
        <v>0</v>
      </c>
      <c r="G23" s="36" t="n">
        <f aca="false">'Sector build'!G65</f>
        <v>0</v>
      </c>
      <c r="H23" s="36" t="n">
        <f aca="false">'Sector build'!H65</f>
        <v>0.0864</v>
      </c>
      <c r="I23" s="36" t="n">
        <f aca="false">'Sector build'!I65</f>
        <v>0</v>
      </c>
      <c r="J23" s="36" t="n">
        <f aca="false">'Sector build'!J65</f>
        <v>0</v>
      </c>
      <c r="K23" s="36" t="n">
        <f aca="false">'Sector build'!K65</f>
        <v>0</v>
      </c>
      <c r="L23" s="36" t="n">
        <f aca="false">'Sector build'!L65</f>
        <v>0</v>
      </c>
      <c r="M23" s="36" t="n">
        <f aca="false">'Sector build'!M65</f>
        <v>0</v>
      </c>
      <c r="N23" s="45" t="n">
        <f aca="false">SUM(C23:M23)</f>
        <v>0.432</v>
      </c>
      <c r="O23" s="23" t="n">
        <f aca="false">N23/$N$28</f>
        <v>0.000251455216011838</v>
      </c>
      <c r="Z23" s="3" t="s">
        <v>19</v>
      </c>
    </row>
    <row r="24" customFormat="false" ht="15" hidden="false" customHeight="false" outlineLevel="0" collapsed="false">
      <c r="B24" s="7" t="s">
        <v>378</v>
      </c>
      <c r="C24" s="36" t="n">
        <f aca="false">'Residual allocation'!C35</f>
        <v>0</v>
      </c>
      <c r="D24" s="36" t="n">
        <f aca="false">'Residual allocation'!D35</f>
        <v>0</v>
      </c>
      <c r="E24" s="36" t="n">
        <f aca="false">'Residual allocation'!E35</f>
        <v>0</v>
      </c>
      <c r="F24" s="36" t="n">
        <f aca="false">'Residual allocation'!F35</f>
        <v>0</v>
      </c>
      <c r="G24" s="36" t="n">
        <f aca="false">'Residual allocation'!G35</f>
        <v>0</v>
      </c>
      <c r="H24" s="36" t="n">
        <f aca="false">'Residual allocation'!H35</f>
        <v>0</v>
      </c>
      <c r="I24" s="36" t="n">
        <f aca="false">'Residual allocation'!I35</f>
        <v>0</v>
      </c>
      <c r="J24" s="36" t="n">
        <f aca="false">'Residual allocation'!J35</f>
        <v>0</v>
      </c>
      <c r="K24" s="36" t="n">
        <f aca="false">'Residual allocation'!K35</f>
        <v>0</v>
      </c>
      <c r="L24" s="36" t="n">
        <f aca="false">'Residual allocation'!L35</f>
        <v>0</v>
      </c>
      <c r="M24" s="36" t="n">
        <f aca="false">'Residual allocation'!M35</f>
        <v>107.640039271982</v>
      </c>
      <c r="N24" s="45" t="n">
        <f aca="false">SUM(C24:M24)</f>
        <v>107.640039271982</v>
      </c>
      <c r="O24" s="23" t="n">
        <f aca="false">N24/$N$28</f>
        <v>0.0626542808487476</v>
      </c>
      <c r="Z24" s="3" t="s">
        <v>19</v>
      </c>
    </row>
    <row r="25" customFormat="false" ht="15" hidden="false" customHeight="false" outlineLevel="0" collapsed="false">
      <c r="B25" s="7" t="s">
        <v>379</v>
      </c>
      <c r="C25" s="36" t="n">
        <f aca="false">'Residual allocation'!C36</f>
        <v>0</v>
      </c>
      <c r="D25" s="36" t="n">
        <f aca="false">'Residual allocation'!D36</f>
        <v>7.53251021468841</v>
      </c>
      <c r="E25" s="36" t="n">
        <f aca="false">'Residual allocation'!E36</f>
        <v>0.810150458065622</v>
      </c>
      <c r="F25" s="36" t="n">
        <f aca="false">'Residual allocation'!F36</f>
        <v>0</v>
      </c>
      <c r="G25" s="36" t="n">
        <f aca="false">'Residual allocation'!G36</f>
        <v>0</v>
      </c>
      <c r="H25" s="36" t="n">
        <f aca="false">'Residual allocation'!H36</f>
        <v>1.84844648247543</v>
      </c>
      <c r="I25" s="36" t="n">
        <f aca="false">'Residual allocation'!I36</f>
        <v>0</v>
      </c>
      <c r="J25" s="36" t="n">
        <f aca="false">'Residual allocation'!J36</f>
        <v>0</v>
      </c>
      <c r="K25" s="36" t="n">
        <f aca="false">'Residual allocation'!K36</f>
        <v>0</v>
      </c>
      <c r="L25" s="36" t="n">
        <f aca="false">'Residual allocation'!L36</f>
        <v>0</v>
      </c>
      <c r="M25" s="36" t="n">
        <f aca="false">'Residual allocation'!M36</f>
        <v>1.00405778800174</v>
      </c>
      <c r="N25" s="45" t="n">
        <f aca="false">SUM(C25:M25)</f>
        <v>11.1951649432312</v>
      </c>
      <c r="O25" s="23" t="n">
        <f aca="false">N25/$N$28</f>
        <v>0.00651639495159342</v>
      </c>
      <c r="Z25" s="3" t="s">
        <v>20</v>
      </c>
    </row>
    <row r="26" customFormat="false" ht="15" hidden="false" customHeight="false" outlineLevel="0" collapsed="false">
      <c r="B26" s="7" t="s">
        <v>302</v>
      </c>
      <c r="C26" s="36" t="n">
        <f aca="false">'Sector build'!C66</f>
        <v>0</v>
      </c>
      <c r="D26" s="36" t="n">
        <f aca="false">'Sector build'!D66</f>
        <v>0.59947296</v>
      </c>
      <c r="E26" s="36" t="n">
        <f aca="false">'Sector build'!E66</f>
        <v>0.058617864</v>
      </c>
      <c r="F26" s="36" t="n">
        <f aca="false">'Sector build'!F66</f>
        <v>0.020373</v>
      </c>
      <c r="G26" s="36" t="n">
        <f aca="false">'Sector build'!G66</f>
        <v>0</v>
      </c>
      <c r="H26" s="36" t="n">
        <f aca="false">'Sector build'!H66</f>
        <v>0</v>
      </c>
      <c r="I26" s="36" t="n">
        <f aca="false">'Sector build'!I66</f>
        <v>0</v>
      </c>
      <c r="J26" s="36" t="n">
        <f aca="false">'Sector build'!J66</f>
        <v>0.491432208</v>
      </c>
      <c r="K26" s="36" t="n">
        <f aca="false">'Sector build'!K66</f>
        <v>0</v>
      </c>
      <c r="L26" s="36" t="n">
        <f aca="false">'Sector build'!L66</f>
        <v>0</v>
      </c>
      <c r="M26" s="36" t="n">
        <f aca="false">'Sector build'!M66</f>
        <v>0.051090528</v>
      </c>
      <c r="N26" s="45" t="n">
        <f aca="false">SUM(C26:M26)</f>
        <v>1.22098656</v>
      </c>
      <c r="O26" s="23" t="n">
        <f aca="false">N26/$N$28</f>
        <v>0.000710702405537849</v>
      </c>
      <c r="Z26" s="3" t="s">
        <v>20</v>
      </c>
    </row>
    <row r="27" customFormat="false" ht="15" hidden="false" customHeight="false" outlineLevel="0" collapsed="false">
      <c r="B27" s="7" t="s">
        <v>21</v>
      </c>
      <c r="C27" s="36" t="n">
        <f aca="false">'Residual allocation'!C37</f>
        <v>0</v>
      </c>
      <c r="D27" s="36" t="n">
        <f aca="false">'Residual allocation'!D37</f>
        <v>11.4428942815985</v>
      </c>
      <c r="E27" s="36" t="n">
        <f aca="false">'Residual allocation'!E37</f>
        <v>0.492277117941933</v>
      </c>
      <c r="F27" s="36" t="n">
        <f aca="false">'Residual allocation'!F37</f>
        <v>1.05652046290338</v>
      </c>
      <c r="G27" s="36" t="n">
        <f aca="false">'Residual allocation'!G37</f>
        <v>0</v>
      </c>
      <c r="H27" s="36" t="n">
        <f aca="false">'Residual allocation'!H37</f>
        <v>0.701980669636771</v>
      </c>
      <c r="I27" s="36" t="n">
        <f aca="false">'Residual allocation'!I37</f>
        <v>0</v>
      </c>
      <c r="J27" s="36" t="n">
        <f aca="false">'Residual allocation'!J37</f>
        <v>4.4670203262468</v>
      </c>
      <c r="K27" s="36" t="n">
        <f aca="false">'Residual allocation'!K37</f>
        <v>3.58244370453343</v>
      </c>
      <c r="L27" s="36" t="n">
        <f aca="false">'Residual allocation'!L37</f>
        <v>8.51094942133285</v>
      </c>
      <c r="M27" s="36" t="n">
        <f aca="false">'Residual allocation'!M37</f>
        <v>3.050562717924</v>
      </c>
      <c r="N27" s="45" t="n">
        <f aca="false">SUM(C27:M27)</f>
        <v>33.3046487021177</v>
      </c>
      <c r="O27" s="23" t="n">
        <f aca="false">N27/$N$28</f>
        <v>0.0193857121147902</v>
      </c>
      <c r="Z27" s="3" t="s">
        <v>21</v>
      </c>
    </row>
    <row r="28" customFormat="false" ht="15" hidden="false" customHeight="false" outlineLevel="0" collapsed="false">
      <c r="B28" s="13" t="s">
        <v>389</v>
      </c>
      <c r="C28" s="38" t="n">
        <f aca="false">SUM(C5:C27)</f>
        <v>6</v>
      </c>
      <c r="D28" s="38" t="n">
        <f aca="false">SUM(D5:D27)</f>
        <v>449.286814259453</v>
      </c>
      <c r="E28" s="38" t="n">
        <f aca="false">SUM(E5:E27)</f>
        <v>81.3501009879743</v>
      </c>
      <c r="F28" s="38" t="n">
        <f aca="false">SUM(F5:F27)</f>
        <v>139.936894286448</v>
      </c>
      <c r="G28" s="38" t="n">
        <f aca="false">SUM(G5:G27)</f>
        <v>10.42576199154</v>
      </c>
      <c r="H28" s="38" t="n">
        <f aca="false">SUM(H5:H27)</f>
        <v>49.7384490618737</v>
      </c>
      <c r="I28" s="38" t="n">
        <f aca="false">SUM(I5:I27)</f>
        <v>11.8424340724631</v>
      </c>
      <c r="J28" s="38" t="n">
        <f aca="false">SUM(J5:J27)</f>
        <v>233.296742078874</v>
      </c>
      <c r="K28" s="38" t="n">
        <f aca="false">SUM(K5:K27)</f>
        <v>319.746849744147</v>
      </c>
      <c r="L28" s="38" t="n">
        <f aca="false">SUM(L5:L27)</f>
        <v>227.375525042642</v>
      </c>
      <c r="M28" s="38" t="n">
        <f aca="false">SUM(M5:M27)</f>
        <v>189.000185455816</v>
      </c>
      <c r="N28" s="38" t="n">
        <f aca="false">SUM(N5:N27)</f>
        <v>1717.99975698123</v>
      </c>
      <c r="O28" s="39" t="n">
        <f aca="false">SUM(O5:O27)</f>
        <v>1</v>
      </c>
    </row>
    <row r="29" customFormat="false" ht="15" hidden="false" customHeight="false" outlineLevel="0" collapsed="false">
      <c r="B29" s="7" t="s">
        <v>390</v>
      </c>
      <c r="C29" s="36" t="n">
        <f aca="false">'Product supply'!$G$5</f>
        <v>6</v>
      </c>
      <c r="D29" s="36" t="n">
        <f aca="false">'Product supply'!$G$6</f>
        <v>449.287208054424</v>
      </c>
      <c r="E29" s="36" t="n">
        <f aca="false">'Product supply'!$G$7</f>
        <v>81.3501356675881</v>
      </c>
      <c r="F29" s="36" t="n">
        <f aca="false">'Product supply'!$G$8</f>
        <v>139.936894286448</v>
      </c>
      <c r="G29" s="36" t="n">
        <f aca="false">'Product supply'!$G$9</f>
        <v>10.42576199154</v>
      </c>
      <c r="H29" s="36" t="n">
        <f aca="false">'Product supply'!$G$10</f>
        <v>49.7384490618737</v>
      </c>
      <c r="I29" s="36" t="n">
        <f aca="false">'Product supply'!$G$11</f>
        <v>11.8424340724631</v>
      </c>
      <c r="J29" s="36" t="n">
        <f aca="false">'Product supply'!$G$12</f>
        <v>233.296742078874</v>
      </c>
      <c r="K29" s="36" t="n">
        <f aca="false">'Product supply'!$G$13</f>
        <v>319.746849744147</v>
      </c>
      <c r="L29" s="36" t="n">
        <f aca="false">'Product supply'!$G$14</f>
        <v>227.375525042642</v>
      </c>
      <c r="M29" s="36" t="n">
        <f aca="false">'Product supply'!$G$15</f>
        <v>189</v>
      </c>
      <c r="N29" s="19" t="n">
        <f aca="false">SUM(C29:M29)</f>
        <v>1718</v>
      </c>
    </row>
    <row r="30" customFormat="false" ht="15" hidden="false" customHeight="false" outlineLevel="0" collapsed="false">
      <c r="B30" s="3" t="s">
        <v>391</v>
      </c>
      <c r="C30" s="40" t="n">
        <f aca="false">C28-C29</f>
        <v>0</v>
      </c>
      <c r="D30" s="40" t="n">
        <f aca="false">D28-D29</f>
        <v>-0.000393794971500938</v>
      </c>
      <c r="E30" s="40" t="n">
        <f aca="false">E28-E29</f>
        <v>-3.46796137904448E-005</v>
      </c>
      <c r="F30" s="40" t="n">
        <f aca="false">F28-F29</f>
        <v>0</v>
      </c>
      <c r="G30" s="40" t="n">
        <f aca="false">G28-G29</f>
        <v>0</v>
      </c>
      <c r="H30" s="40" t="n">
        <f aca="false">H28-H29</f>
        <v>0</v>
      </c>
      <c r="I30" s="40" t="n">
        <f aca="false">I28-I29</f>
        <v>0</v>
      </c>
      <c r="J30" s="40" t="n">
        <f aca="false">J28-J29</f>
        <v>0</v>
      </c>
      <c r="K30" s="40" t="n">
        <f aca="false">K28-K29</f>
        <v>0</v>
      </c>
      <c r="L30" s="40" t="n">
        <f aca="false">L28-L29</f>
        <v>0</v>
      </c>
      <c r="M30" s="40" t="n">
        <f aca="false">M28-M29</f>
        <v>0.000185455816051672</v>
      </c>
      <c r="N30" s="42" t="n">
        <f aca="false">N28-Inputs!$D$6</f>
        <v>-0.000243018769197079</v>
      </c>
    </row>
    <row r="33" customFormat="false" ht="15" hidden="false" customHeight="false" outlineLevel="0" collapsed="false">
      <c r="B33" s="18" t="s">
        <v>392</v>
      </c>
    </row>
    <row r="34" customFormat="false" ht="31.5" hidden="false" customHeight="true" outlineLevel="0" collapsed="false">
      <c r="B34" s="5" t="s">
        <v>288</v>
      </c>
      <c r="C34" s="5" t="s">
        <v>242</v>
      </c>
      <c r="D34" s="5" t="s">
        <v>244</v>
      </c>
      <c r="E34" s="5" t="s">
        <v>245</v>
      </c>
      <c r="F34" s="5" t="s">
        <v>246</v>
      </c>
      <c r="G34" s="5" t="s">
        <v>247</v>
      </c>
      <c r="H34" s="5" t="s">
        <v>248</v>
      </c>
      <c r="I34" s="5" t="s">
        <v>249</v>
      </c>
      <c r="J34" s="5" t="s">
        <v>250</v>
      </c>
      <c r="K34" s="5" t="s">
        <v>251</v>
      </c>
      <c r="L34" s="5" t="s">
        <v>252</v>
      </c>
      <c r="M34" s="5" t="s">
        <v>36</v>
      </c>
      <c r="N34" s="5" t="s">
        <v>306</v>
      </c>
      <c r="O34" s="5" t="s">
        <v>289</v>
      </c>
      <c r="P34" s="5" t="s">
        <v>34</v>
      </c>
      <c r="Q34" s="5" t="s">
        <v>35</v>
      </c>
      <c r="R34" s="5" t="s">
        <v>36</v>
      </c>
    </row>
    <row r="35" customFormat="false" ht="15" hidden="false" customHeight="false" outlineLevel="0" collapsed="false">
      <c r="B35" s="7" t="s">
        <v>13</v>
      </c>
      <c r="C35" s="19" t="n">
        <f aca="false">SUMIF($Z$5:$Z$27,$B35,C$5:C$27)</f>
        <v>6</v>
      </c>
      <c r="D35" s="19" t="n">
        <f aca="false">SUMIF($Z$5:$Z$27,$B35,D$5:D$27)</f>
        <v>172.986648871735</v>
      </c>
      <c r="E35" s="19" t="n">
        <f aca="false">SUMIF($Z$5:$Z$27,$B35,E$5:E$27)</f>
        <v>10.6316598445384</v>
      </c>
      <c r="F35" s="19" t="n">
        <f aca="false">SUMIF($Z$5:$Z$27,$B35,F$5:F$27)</f>
        <v>32.704611274874</v>
      </c>
      <c r="G35" s="19" t="n">
        <f aca="false">SUMIF($Z$5:$Z$27,$B35,G$5:G$27)</f>
        <v>0</v>
      </c>
      <c r="H35" s="19" t="n">
        <f aca="false">SUMIF($Z$5:$Z$27,$B35,H$5:H$27)</f>
        <v>42.1962973747428</v>
      </c>
      <c r="I35" s="19" t="n">
        <f aca="false">SUMIF($Z$5:$Z$27,$B35,I$5:I$27)</f>
        <v>0</v>
      </c>
      <c r="J35" s="19" t="n">
        <f aca="false">SUMIF($Z$5:$Z$27,$B35,J$5:J$27)</f>
        <v>148.725291931594</v>
      </c>
      <c r="K35" s="19" t="n">
        <f aca="false">SUMIF($Z$5:$Z$27,$B35,K$5:K$27)</f>
        <v>312.684920820698</v>
      </c>
      <c r="L35" s="19" t="n">
        <f aca="false">SUMIF($Z$5:$Z$27,$B35,L$5:L$27)</f>
        <v>76.5847988212115</v>
      </c>
      <c r="M35" s="19" t="n">
        <f aca="false">SUMIF($Z$5:$Z$27,$B35,M$5:M$27)</f>
        <v>39.527310805973</v>
      </c>
      <c r="N35" s="45" t="n">
        <f aca="false">SUM(C35:M35)</f>
        <v>842.041539745366</v>
      </c>
      <c r="O35" s="61" t="n">
        <f aca="false">N35/$N$44</f>
        <v>0.490129021452804</v>
      </c>
      <c r="P35" s="19" t="n">
        <f aca="false">SUM(C35:G35)</f>
        <v>222.322919991147</v>
      </c>
      <c r="Q35" s="19" t="n">
        <f aca="false">SUM(H35:L35)</f>
        <v>580.191308948246</v>
      </c>
      <c r="R35" s="19" t="n">
        <f aca="false">M35</f>
        <v>39.527310805973</v>
      </c>
    </row>
    <row r="36" customFormat="false" ht="15" hidden="false" customHeight="false" outlineLevel="0" collapsed="false">
      <c r="B36" s="7" t="s">
        <v>14</v>
      </c>
      <c r="C36" s="19" t="n">
        <f aca="false">SUMIF($Z$5:$Z$27,$B36,C$5:C$27)</f>
        <v>0</v>
      </c>
      <c r="D36" s="19" t="n">
        <f aca="false">SUMIF($Z$5:$Z$27,$B36,D$5:D$27)</f>
        <v>140.9385238748</v>
      </c>
      <c r="E36" s="19" t="n">
        <f aca="false">SUMIF($Z$5:$Z$27,$B36,E$5:E$27)</f>
        <v>19.927900043596</v>
      </c>
      <c r="F36" s="19" t="n">
        <f aca="false">SUMIF($Z$5:$Z$27,$B36,F$5:F$27)</f>
        <v>8.6660344599406</v>
      </c>
      <c r="G36" s="19" t="n">
        <f aca="false">SUMIF($Z$5:$Z$27,$B36,G$5:G$27)</f>
        <v>0</v>
      </c>
      <c r="H36" s="19" t="n">
        <f aca="false">SUMIF($Z$5:$Z$27,$B36,H$5:H$27)</f>
        <v>4.90532453501875</v>
      </c>
      <c r="I36" s="19" t="n">
        <f aca="false">SUMIF($Z$5:$Z$27,$B36,I$5:I$27)</f>
        <v>0</v>
      </c>
      <c r="J36" s="19" t="n">
        <f aca="false">SUMIF($Z$5:$Z$27,$B36,J$5:J$27)</f>
        <v>37.5710055830267</v>
      </c>
      <c r="K36" s="19" t="n">
        <f aca="false">SUMIF($Z$5:$Z$27,$B36,K$5:K$27)</f>
        <v>0</v>
      </c>
      <c r="L36" s="19" t="n">
        <f aca="false">SUMIF($Z$5:$Z$27,$B36,L$5:L$27)</f>
        <v>44.6042128570805</v>
      </c>
      <c r="M36" s="19" t="n">
        <f aca="false">SUMIF($Z$5:$Z$27,$B36,M$5:M$27)</f>
        <v>22.381920613738</v>
      </c>
      <c r="N36" s="45" t="n">
        <f aca="false">SUM(C36:M36)</f>
        <v>278.9949219672</v>
      </c>
      <c r="O36" s="61" t="n">
        <f aca="false">N36/$N$44</f>
        <v>0.162395204558954</v>
      </c>
      <c r="P36" s="19" t="n">
        <f aca="false">SUM(C36:G36)</f>
        <v>169.532458378336</v>
      </c>
      <c r="Q36" s="19" t="n">
        <f aca="false">SUM(H36:L36)</f>
        <v>87.080542975126</v>
      </c>
      <c r="R36" s="19" t="n">
        <f aca="false">M36</f>
        <v>22.381920613738</v>
      </c>
    </row>
    <row r="37" customFormat="false" ht="15" hidden="false" customHeight="false" outlineLevel="0" collapsed="false">
      <c r="B37" s="7" t="s">
        <v>15</v>
      </c>
      <c r="C37" s="19" t="n">
        <f aca="false">SUMIF($Z$5:$Z$27,$B37,C$5:C$27)</f>
        <v>0</v>
      </c>
      <c r="D37" s="19" t="n">
        <f aca="false">SUMIF($Z$5:$Z$27,$B37,D$5:D$27)</f>
        <v>6.398039375</v>
      </c>
      <c r="E37" s="19" t="n">
        <f aca="false">SUMIF($Z$5:$Z$27,$B37,E$5:E$27)</f>
        <v>25.5921575</v>
      </c>
      <c r="F37" s="19" t="n">
        <f aca="false">SUMIF($Z$5:$Z$27,$B37,F$5:F$27)</f>
        <v>65.260001625</v>
      </c>
      <c r="G37" s="19" t="n">
        <f aca="false">SUMIF($Z$5:$Z$27,$B37,G$5:G$27)</f>
        <v>0</v>
      </c>
      <c r="H37" s="19" t="n">
        <f aca="false">SUMIF($Z$5:$Z$27,$B37,H$5:H$27)</f>
        <v>0</v>
      </c>
      <c r="I37" s="19" t="n">
        <f aca="false">SUMIF($Z$5:$Z$27,$B37,I$5:I$27)</f>
        <v>0</v>
      </c>
      <c r="J37" s="19" t="n">
        <f aca="false">SUMIF($Z$5:$Z$27,$B37,J$5:J$27)</f>
        <v>19.194118125</v>
      </c>
      <c r="K37" s="19" t="n">
        <f aca="false">SUMIF($Z$5:$Z$27,$B37,K$5:K$27)</f>
        <v>0</v>
      </c>
      <c r="L37" s="19" t="n">
        <f aca="false">SUMIF($Z$5:$Z$27,$B37,L$5:L$27)</f>
        <v>10.236863</v>
      </c>
      <c r="M37" s="19" t="n">
        <f aca="false">SUMIF($Z$5:$Z$27,$B37,M$5:M$27)</f>
        <v>1.279607875</v>
      </c>
      <c r="N37" s="45" t="n">
        <f aca="false">SUM(C37:M37)</f>
        <v>127.9607875</v>
      </c>
      <c r="O37" s="61" t="n">
        <f aca="false">N37/$N$44</f>
        <v>0.0744824246802254</v>
      </c>
      <c r="P37" s="19" t="n">
        <f aca="false">SUM(C37:G37)</f>
        <v>97.2501985</v>
      </c>
      <c r="Q37" s="19" t="n">
        <f aca="false">SUM(H37:L37)</f>
        <v>29.430981125</v>
      </c>
      <c r="R37" s="19" t="n">
        <f aca="false">M37</f>
        <v>1.279607875</v>
      </c>
    </row>
    <row r="38" customFormat="false" ht="15" hidden="false" customHeight="false" outlineLevel="0" collapsed="false">
      <c r="B38" s="7" t="s">
        <v>16</v>
      </c>
      <c r="C38" s="19" t="n">
        <f aca="false">SUMIF($Z$5:$Z$27,$B38,C$5:C$27)</f>
        <v>0</v>
      </c>
      <c r="D38" s="19" t="n">
        <f aca="false">SUMIF($Z$5:$Z$27,$B38,D$5:D$27)</f>
        <v>31.0406507213295</v>
      </c>
      <c r="E38" s="19" t="n">
        <f aca="false">SUMIF($Z$5:$Z$27,$B38,E$5:E$27)</f>
        <v>3.81875</v>
      </c>
      <c r="F38" s="19" t="n">
        <f aca="false">SUMIF($Z$5:$Z$27,$B38,F$5:F$27)</f>
        <v>6.2440625</v>
      </c>
      <c r="G38" s="19" t="n">
        <f aca="false">SUMIF($Z$5:$Z$27,$B38,G$5:G$27)</f>
        <v>0</v>
      </c>
      <c r="H38" s="19" t="n">
        <f aca="false">SUMIF($Z$5:$Z$27,$B38,H$5:H$27)</f>
        <v>0</v>
      </c>
      <c r="I38" s="19" t="n">
        <f aca="false">SUMIF($Z$5:$Z$27,$B38,I$5:I$27)</f>
        <v>11.8424340724631</v>
      </c>
      <c r="J38" s="19" t="n">
        <f aca="false">SUMIF($Z$5:$Z$27,$B38,J$5:J$27)</f>
        <v>4.5337162254902</v>
      </c>
      <c r="K38" s="19" t="n">
        <f aca="false">SUMIF($Z$5:$Z$27,$B38,K$5:K$27)</f>
        <v>0</v>
      </c>
      <c r="L38" s="19" t="n">
        <f aca="false">SUMIF($Z$5:$Z$27,$B38,L$5:L$27)</f>
        <v>1.8012137254902</v>
      </c>
      <c r="M38" s="19" t="n">
        <f aca="false">SUMIF($Z$5:$Z$27,$B38,M$5:M$27)</f>
        <v>0.743341564171123</v>
      </c>
      <c r="N38" s="45" t="n">
        <f aca="false">SUM(C38:M38)</f>
        <v>60.0241688089442</v>
      </c>
      <c r="O38" s="61" t="n">
        <f aca="false">N38/$N$44</f>
        <v>0.0349384035504261</v>
      </c>
      <c r="P38" s="19" t="n">
        <f aca="false">SUM(C38:G38)</f>
        <v>41.1034632213295</v>
      </c>
      <c r="Q38" s="19" t="n">
        <f aca="false">SUM(H38:L38)</f>
        <v>18.1773640234435</v>
      </c>
      <c r="R38" s="19" t="n">
        <f aca="false">M38</f>
        <v>0.743341564171123</v>
      </c>
    </row>
    <row r="39" customFormat="false" ht="15" hidden="false" customHeight="false" outlineLevel="0" collapsed="false">
      <c r="B39" s="7" t="s">
        <v>17</v>
      </c>
      <c r="C39" s="19" t="n">
        <f aca="false">SUMIF($Z$5:$Z$27,$B39,C$5:C$27)</f>
        <v>0</v>
      </c>
      <c r="D39" s="19" t="n">
        <f aca="false">SUMIF($Z$5:$Z$27,$B39,D$5:D$27)</f>
        <v>8.820864</v>
      </c>
      <c r="E39" s="19" t="n">
        <f aca="false">SUMIF($Z$5:$Z$27,$B39,E$5:E$27)</f>
        <v>16.171584</v>
      </c>
      <c r="F39" s="19" t="n">
        <f aca="false">SUMIF($Z$5:$Z$27,$B39,F$5:F$27)</f>
        <v>23.522304</v>
      </c>
      <c r="G39" s="19" t="n">
        <f aca="false">SUMIF($Z$5:$Z$27,$B39,G$5:G$27)</f>
        <v>0</v>
      </c>
      <c r="H39" s="19" t="n">
        <f aca="false">SUMIF($Z$5:$Z$27,$B39,H$5:H$27)</f>
        <v>0</v>
      </c>
      <c r="I39" s="19" t="n">
        <f aca="false">SUMIF($Z$5:$Z$27,$B39,I$5:I$27)</f>
        <v>0</v>
      </c>
      <c r="J39" s="19" t="n">
        <f aca="false">SUMIF($Z$5:$Z$27,$B39,J$5:J$27)</f>
        <v>5.880576</v>
      </c>
      <c r="K39" s="19" t="n">
        <f aca="false">SUMIF($Z$5:$Z$27,$B39,K$5:K$27)</f>
        <v>0</v>
      </c>
      <c r="L39" s="19" t="n">
        <f aca="false">SUMIF($Z$5:$Z$27,$B39,L$5:L$27)</f>
        <v>2.940288</v>
      </c>
      <c r="M39" s="19" t="n">
        <f aca="false">SUMIF($Z$5:$Z$27,$B39,M$5:M$27)</f>
        <v>1.470144</v>
      </c>
      <c r="N39" s="45" t="n">
        <f aca="false">SUM(C39:M39)</f>
        <v>58.80576</v>
      </c>
      <c r="O39" s="61" t="n">
        <f aca="false">N39/$N$44</f>
        <v>0.0342292015822692</v>
      </c>
      <c r="P39" s="19" t="n">
        <f aca="false">SUM(C39:G39)</f>
        <v>48.514752</v>
      </c>
      <c r="Q39" s="19" t="n">
        <f aca="false">SUM(H39:L39)</f>
        <v>8.820864</v>
      </c>
      <c r="R39" s="19" t="n">
        <f aca="false">M39</f>
        <v>1.470144</v>
      </c>
    </row>
    <row r="40" customFormat="false" ht="15" hidden="false" customHeight="false" outlineLevel="0" collapsed="false">
      <c r="B40" s="7" t="s">
        <v>18</v>
      </c>
      <c r="C40" s="19" t="n">
        <f aca="false">SUMIF($Z$5:$Z$27,$B40,C$5:C$27)</f>
        <v>0</v>
      </c>
      <c r="D40" s="19" t="n">
        <f aca="false">SUMIF($Z$5:$Z$27,$B40,D$5:D$27)</f>
        <v>69.203209960302</v>
      </c>
      <c r="E40" s="19" t="n">
        <f aca="false">SUMIF($Z$5:$Z$27,$B40,E$5:E$27)</f>
        <v>3.82540415983239</v>
      </c>
      <c r="F40" s="19" t="n">
        <f aca="false">SUMIF($Z$5:$Z$27,$B40,F$5:F$27)</f>
        <v>2.46298696372967</v>
      </c>
      <c r="G40" s="19" t="n">
        <f aca="false">SUMIF($Z$5:$Z$27,$B40,G$5:G$27)</f>
        <v>10.42576199154</v>
      </c>
      <c r="H40" s="19" t="n">
        <f aca="false">SUMIF($Z$5:$Z$27,$B40,H$5:H$27)</f>
        <v>0</v>
      </c>
      <c r="I40" s="19" t="n">
        <f aca="false">SUMIF($Z$5:$Z$27,$B40,I$5:I$27)</f>
        <v>0</v>
      </c>
      <c r="J40" s="19" t="n">
        <f aca="false">SUMIF($Z$5:$Z$27,$B40,J$5:J$27)</f>
        <v>12.4335816795165</v>
      </c>
      <c r="K40" s="19" t="n">
        <f aca="false">SUMIF($Z$5:$Z$27,$B40,K$5:K$27)</f>
        <v>3.47948521891581</v>
      </c>
      <c r="L40" s="19" t="n">
        <f aca="false">SUMIF($Z$5:$Z$27,$B40,L$5:L$27)</f>
        <v>82.697199217527</v>
      </c>
      <c r="M40" s="19" t="n">
        <f aca="false">SUMIF($Z$5:$Z$27,$B40,M$5:M$27)</f>
        <v>11.852110291026</v>
      </c>
      <c r="N40" s="45" t="n">
        <f aca="false">SUM(C40:M40)</f>
        <v>196.379739482389</v>
      </c>
      <c r="O40" s="61" t="n">
        <f aca="false">N40/$N$44</f>
        <v>0.11430719863864</v>
      </c>
      <c r="P40" s="19" t="n">
        <f aca="false">SUM(C40:G40)</f>
        <v>85.917363075404</v>
      </c>
      <c r="Q40" s="19" t="n">
        <f aca="false">SUM(H40:L40)</f>
        <v>98.6102661159593</v>
      </c>
      <c r="R40" s="19" t="n">
        <f aca="false">M40</f>
        <v>11.852110291026</v>
      </c>
    </row>
    <row r="41" customFormat="false" ht="15" hidden="false" customHeight="false" outlineLevel="0" collapsed="false">
      <c r="B41" s="7" t="s">
        <v>19</v>
      </c>
      <c r="C41" s="19" t="n">
        <f aca="false">SUMIF($Z$5:$Z$27,$B41,C$5:C$27)</f>
        <v>0</v>
      </c>
      <c r="D41" s="19" t="n">
        <f aca="false">SUMIF($Z$5:$Z$27,$B41,D$5:D$27)</f>
        <v>0.324</v>
      </c>
      <c r="E41" s="19" t="n">
        <f aca="false">SUMIF($Z$5:$Z$27,$B41,E$5:E$27)</f>
        <v>0.0216</v>
      </c>
      <c r="F41" s="19" t="n">
        <f aca="false">SUMIF($Z$5:$Z$27,$B41,F$5:F$27)</f>
        <v>0</v>
      </c>
      <c r="G41" s="19" t="n">
        <f aca="false">SUMIF($Z$5:$Z$27,$B41,G$5:G$27)</f>
        <v>0</v>
      </c>
      <c r="H41" s="19" t="n">
        <f aca="false">SUMIF($Z$5:$Z$27,$B41,H$5:H$27)</f>
        <v>0.0864</v>
      </c>
      <c r="I41" s="19" t="n">
        <f aca="false">SUMIF($Z$5:$Z$27,$B41,I$5:I$27)</f>
        <v>0</v>
      </c>
      <c r="J41" s="19" t="n">
        <f aca="false">SUMIF($Z$5:$Z$27,$B41,J$5:J$27)</f>
        <v>0</v>
      </c>
      <c r="K41" s="19" t="n">
        <f aca="false">SUMIF($Z$5:$Z$27,$B41,K$5:K$27)</f>
        <v>0</v>
      </c>
      <c r="L41" s="19" t="n">
        <f aca="false">SUMIF($Z$5:$Z$27,$B41,L$5:L$27)</f>
        <v>0</v>
      </c>
      <c r="M41" s="19" t="n">
        <f aca="false">SUMIF($Z$5:$Z$27,$B41,M$5:M$27)</f>
        <v>107.640039271982</v>
      </c>
      <c r="N41" s="45" t="n">
        <f aca="false">SUM(C41:M41)</f>
        <v>108.072039271982</v>
      </c>
      <c r="O41" s="61" t="n">
        <f aca="false">N41/$N$44</f>
        <v>0.0629057360647594</v>
      </c>
      <c r="P41" s="19" t="n">
        <f aca="false">SUM(C41:G41)</f>
        <v>0.3456</v>
      </c>
      <c r="Q41" s="19" t="n">
        <f aca="false">SUM(H41:L41)</f>
        <v>0.0864</v>
      </c>
      <c r="R41" s="19" t="n">
        <f aca="false">M41</f>
        <v>107.640039271982</v>
      </c>
    </row>
    <row r="42" customFormat="false" ht="15" hidden="false" customHeight="false" outlineLevel="0" collapsed="false">
      <c r="B42" s="7" t="s">
        <v>20</v>
      </c>
      <c r="C42" s="19" t="n">
        <f aca="false">SUMIF($Z$5:$Z$27,$B42,C$5:C$27)</f>
        <v>0</v>
      </c>
      <c r="D42" s="19" t="n">
        <f aca="false">SUMIF($Z$5:$Z$27,$B42,D$5:D$27)</f>
        <v>8.13198317468842</v>
      </c>
      <c r="E42" s="19" t="n">
        <f aca="false">SUMIF($Z$5:$Z$27,$B42,E$5:E$27)</f>
        <v>0.868768322065622</v>
      </c>
      <c r="F42" s="19" t="n">
        <f aca="false">SUMIF($Z$5:$Z$27,$B42,F$5:F$27)</f>
        <v>0.020373</v>
      </c>
      <c r="G42" s="19" t="n">
        <f aca="false">SUMIF($Z$5:$Z$27,$B42,G$5:G$27)</f>
        <v>0</v>
      </c>
      <c r="H42" s="19" t="n">
        <f aca="false">SUMIF($Z$5:$Z$27,$B42,H$5:H$27)</f>
        <v>1.84844648247543</v>
      </c>
      <c r="I42" s="19" t="n">
        <f aca="false">SUMIF($Z$5:$Z$27,$B42,I$5:I$27)</f>
        <v>0</v>
      </c>
      <c r="J42" s="19" t="n">
        <f aca="false">SUMIF($Z$5:$Z$27,$B42,J$5:J$27)</f>
        <v>0.491432208</v>
      </c>
      <c r="K42" s="19" t="n">
        <f aca="false">SUMIF($Z$5:$Z$27,$B42,K$5:K$27)</f>
        <v>0</v>
      </c>
      <c r="L42" s="19" t="n">
        <f aca="false">SUMIF($Z$5:$Z$27,$B42,L$5:L$27)</f>
        <v>0</v>
      </c>
      <c r="M42" s="19" t="n">
        <f aca="false">SUMIF($Z$5:$Z$27,$B42,M$5:M$27)</f>
        <v>1.05514831600174</v>
      </c>
      <c r="N42" s="45" t="n">
        <f aca="false">SUM(C42:M42)</f>
        <v>12.4161515032312</v>
      </c>
      <c r="O42" s="61" t="n">
        <f aca="false">N42/$N$44</f>
        <v>0.00722709735713126</v>
      </c>
      <c r="P42" s="19" t="n">
        <f aca="false">SUM(C42:G42)</f>
        <v>9.02112449675404</v>
      </c>
      <c r="Q42" s="19" t="n">
        <f aca="false">SUM(H42:L42)</f>
        <v>2.33987869047543</v>
      </c>
      <c r="R42" s="19" t="n">
        <f aca="false">M42</f>
        <v>1.05514831600174</v>
      </c>
    </row>
    <row r="43" customFormat="false" ht="15" hidden="false" customHeight="false" outlineLevel="0" collapsed="false">
      <c r="B43" s="7" t="s">
        <v>21</v>
      </c>
      <c r="C43" s="19" t="n">
        <f aca="false">SUMIF($Z$5:$Z$27,$B43,C$5:C$27)</f>
        <v>0</v>
      </c>
      <c r="D43" s="19" t="n">
        <f aca="false">SUMIF($Z$5:$Z$27,$B43,D$5:D$27)</f>
        <v>11.4428942815985</v>
      </c>
      <c r="E43" s="19" t="n">
        <f aca="false">SUMIF($Z$5:$Z$27,$B43,E$5:E$27)</f>
        <v>0.492277117941933</v>
      </c>
      <c r="F43" s="19" t="n">
        <f aca="false">SUMIF($Z$5:$Z$27,$B43,F$5:F$27)</f>
        <v>1.05652046290338</v>
      </c>
      <c r="G43" s="19" t="n">
        <f aca="false">SUMIF($Z$5:$Z$27,$B43,G$5:G$27)</f>
        <v>0</v>
      </c>
      <c r="H43" s="19" t="n">
        <f aca="false">SUMIF($Z$5:$Z$27,$B43,H$5:H$27)</f>
        <v>0.701980669636771</v>
      </c>
      <c r="I43" s="19" t="n">
        <f aca="false">SUMIF($Z$5:$Z$27,$B43,I$5:I$27)</f>
        <v>0</v>
      </c>
      <c r="J43" s="19" t="n">
        <f aca="false">SUMIF($Z$5:$Z$27,$B43,J$5:J$27)</f>
        <v>4.4670203262468</v>
      </c>
      <c r="K43" s="19" t="n">
        <f aca="false">SUMIF($Z$5:$Z$27,$B43,K$5:K$27)</f>
        <v>3.58244370453343</v>
      </c>
      <c r="L43" s="19" t="n">
        <f aca="false">SUMIF($Z$5:$Z$27,$B43,L$5:L$27)</f>
        <v>8.51094942133285</v>
      </c>
      <c r="M43" s="19" t="n">
        <f aca="false">SUMIF($Z$5:$Z$27,$B43,M$5:M$27)</f>
        <v>3.050562717924</v>
      </c>
      <c r="N43" s="45" t="n">
        <f aca="false">SUM(C43:M43)</f>
        <v>33.3046487021177</v>
      </c>
      <c r="O43" s="61" t="n">
        <f aca="false">N43/$N$44</f>
        <v>0.0193857121147902</v>
      </c>
      <c r="P43" s="19" t="n">
        <f aca="false">SUM(C43:G43)</f>
        <v>12.9916918624438</v>
      </c>
      <c r="Q43" s="19" t="n">
        <f aca="false">SUM(H43:L43)</f>
        <v>17.2623941217498</v>
      </c>
      <c r="R43" s="19" t="n">
        <f aca="false">M43</f>
        <v>3.050562717924</v>
      </c>
    </row>
    <row r="44" customFormat="false" ht="15" hidden="false" customHeight="false" outlineLevel="0" collapsed="false">
      <c r="B44" s="13" t="s">
        <v>254</v>
      </c>
      <c r="C44" s="38" t="n">
        <f aca="false">SUM(C35:C43)</f>
        <v>6</v>
      </c>
      <c r="D44" s="38" t="n">
        <f aca="false">SUM(D35:D43)</f>
        <v>449.286814259453</v>
      </c>
      <c r="E44" s="38" t="n">
        <f aca="false">SUM(E35:E43)</f>
        <v>81.3501009879743</v>
      </c>
      <c r="F44" s="38" t="n">
        <f aca="false">SUM(F35:F43)</f>
        <v>139.936894286448</v>
      </c>
      <c r="G44" s="38" t="n">
        <f aca="false">SUM(G35:G43)</f>
        <v>10.42576199154</v>
      </c>
      <c r="H44" s="38" t="n">
        <f aca="false">SUM(H35:H43)</f>
        <v>49.7384490618737</v>
      </c>
      <c r="I44" s="38" t="n">
        <f aca="false">SUM(I35:I43)</f>
        <v>11.8424340724631</v>
      </c>
      <c r="J44" s="38" t="n">
        <f aca="false">SUM(J35:J43)</f>
        <v>233.296742078874</v>
      </c>
      <c r="K44" s="38" t="n">
        <f aca="false">SUM(K35:K43)</f>
        <v>319.746849744147</v>
      </c>
      <c r="L44" s="38" t="n">
        <f aca="false">SUM(L35:L43)</f>
        <v>227.375525042642</v>
      </c>
      <c r="M44" s="38" t="n">
        <f aca="false">SUM(M35:M43)</f>
        <v>189.000185455816</v>
      </c>
      <c r="N44" s="38" t="n">
        <f aca="false">SUM(N35:N43)</f>
        <v>1717.99975698123</v>
      </c>
      <c r="O44" s="39" t="n">
        <f aca="false">SUM(O35:O43)</f>
        <v>1</v>
      </c>
      <c r="P44" s="38" t="n">
        <f aca="false">SUM(P35:P43)</f>
        <v>686.999571525415</v>
      </c>
      <c r="Q44" s="38" t="n">
        <f aca="false">SUM(Q35:Q43)</f>
        <v>842</v>
      </c>
      <c r="R44" s="38" t="n">
        <f aca="false">SUM(R35:R43)</f>
        <v>189.000185455816</v>
      </c>
    </row>
    <row r="45" customFormat="false" ht="15" hidden="false" customHeight="false" outlineLevel="0" collapsed="false">
      <c r="B45" s="3" t="s">
        <v>7</v>
      </c>
      <c r="P45" s="62" t="n">
        <f aca="false">P44/$N$44</f>
        <v>0.399883392726766</v>
      </c>
      <c r="Q45" s="62" t="n">
        <f aca="false">Q44/$N$44</f>
        <v>0.490104842319369</v>
      </c>
      <c r="R45" s="62" t="n">
        <f aca="false">R44/$N$44</f>
        <v>0.110011764953865</v>
      </c>
    </row>
    <row r="47" customFormat="false" ht="15" hidden="false" customHeight="false" outlineLevel="0" collapsed="false">
      <c r="B47" s="3" t="s">
        <v>393</v>
      </c>
    </row>
  </sheetData>
  <mergeCells count="2">
    <mergeCell ref="B2:O2"/>
    <mergeCell ref="B3:O3"/>
  </mergeCells>
  <hyperlinks>
    <hyperlink ref="B1" r:id="rId1" display="WORLD STEEL END-USE MATRIX, 2025 (Mt)"/>
    <hyperlink ref="N1" r:id="rId2" display="2025 demand data"/>
    <hyperlink ref="O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I3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3" topLeftCell="B4" activePane="bottomRight" state="frozen"/>
      <selection pane="topLeft" activeCell="A1" activeCellId="0" sqref="A1"/>
      <selection pane="topRight" activeCell="B1" activeCellId="0" sqref="B1"/>
      <selection pane="bottomLeft" activeCell="A4" activeCellId="0" sqref="A4"/>
      <selection pane="bottomRigh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30"/>
    <col collapsed="false" customWidth="true" hidden="false" outlineLevel="0" max="3" min="3" style="0" width="13"/>
    <col collapsed="false" customWidth="true" hidden="false" outlineLevel="0" max="4" min="4" style="0" width="12"/>
    <col collapsed="false" customWidth="true" hidden="false" outlineLevel="0" max="6" min="5" style="0" width="13"/>
    <col collapsed="false" customWidth="true" hidden="false" outlineLevel="0" max="7" min="7" style="0" width="16"/>
    <col collapsed="false" customWidth="true" hidden="false" outlineLevel="0" max="8" min="8" style="0" width="70"/>
    <col collapsed="false" customWidth="true" hidden="false" outlineLevel="0" max="9" min="9" style="0" width="16"/>
  </cols>
  <sheetData>
    <row r="1" customFormat="false" ht="20.25" hidden="false" customHeight="true" outlineLevel="0" collapsed="false">
      <c r="B1" s="1" t="s">
        <v>394</v>
      </c>
      <c r="H1" s="2" t="s">
        <v>1</v>
      </c>
      <c r="I1" s="2" t="s">
        <v>2</v>
      </c>
    </row>
    <row r="2" customFormat="false" ht="29.25" hidden="false" customHeight="true" outlineLevel="0" collapsed="false">
      <c r="B2" s="17" t="s">
        <v>395</v>
      </c>
      <c r="C2" s="17"/>
      <c r="D2" s="17"/>
      <c r="E2" s="17"/>
      <c r="F2" s="17"/>
      <c r="G2" s="17"/>
      <c r="H2" s="17"/>
      <c r="I2" s="17"/>
    </row>
    <row r="3" customFormat="false" ht="41.25" hidden="false" customHeight="true" outlineLevel="0" collapsed="false">
      <c r="B3" s="4" t="s">
        <v>4</v>
      </c>
      <c r="C3" s="4"/>
      <c r="D3" s="4"/>
      <c r="E3" s="4"/>
      <c r="F3" s="4"/>
      <c r="G3" s="4"/>
      <c r="H3" s="4"/>
      <c r="I3" s="4"/>
    </row>
    <row r="4" customFormat="false" ht="15" hidden="false" customHeight="false" outlineLevel="0" collapsed="false">
      <c r="B4" s="18" t="s">
        <v>396</v>
      </c>
    </row>
    <row r="5" customFormat="false" ht="15" hidden="false" customHeight="false" outlineLevel="0" collapsed="false">
      <c r="B5" s="21" t="s">
        <v>397</v>
      </c>
      <c r="C5" s="63" t="str">
        <f aca="false">TRIM(IF(LEFT(G20,5)&lt;&gt;"Withi",IF(G20="No benchmark","",B20&amp;" ("&amp;G20&amp;"); "),"")&amp;IF(LEFT(G21,5)&lt;&gt;"Withi",IF(G21="No benchmark","",B21&amp;" ("&amp;G21&amp;"); "),"")&amp;IF(LEFT(G22,5)&lt;&gt;"Withi",IF(G22="No benchmark","",B22&amp;" ("&amp;G22&amp;"); "),"")&amp;IF(LEFT(G23,5)&lt;&gt;"Withi",IF(G23="No benchmark","",B23&amp;" ("&amp;G23&amp;"); "),"")&amp;IF(LEFT(G24,5)&lt;&gt;"Withi",IF(G24="No benchmark","",B24&amp;" ("&amp;G24&amp;"); "),"")&amp;IF(LEFT(G25,5)&lt;&gt;"Withi",IF(G25="No benchmark","",B25&amp;" ("&amp;G25&amp;"); "),"")&amp;IF(LEFT(G26,5)&lt;&gt;"Withi",IF(G26="No benchmark","",B26&amp;" ("&amp;G26&amp;"); "),"")&amp;IF(LEFT(G27,5)&lt;&gt;"Withi",IF(G27="No benchmark","",B27&amp;" ("&amp;G27&amp;"); "),"")&amp;IF(LEFT(G28,5)&lt;&gt;"Withi",IF(G28="No benchmark","",B28&amp;" ("&amp;G28&amp;"); "),"")&amp;IF(LEFT(G29,5)&lt;&gt;"Withi",IF(G29="No benchmark","",B29&amp;" ("&amp;G29&amp;"); "),"")&amp;IF(LEFT(G30,5)&lt;&gt;"Withi",IF(G30="No benchmark","",B30&amp;" ("&amp;G30&amp;"); "),""))</f>
        <v>Domestic appliances (Above range); Oil &amp; gas (Above range); Tube (welded + seamless) (Above range);</v>
      </c>
      <c r="D5" s="63"/>
      <c r="E5" s="63"/>
      <c r="F5" s="63"/>
      <c r="G5" s="63"/>
      <c r="H5" s="63"/>
      <c r="I5" s="63"/>
    </row>
    <row r="7" customFormat="false" ht="15" hidden="false" customHeight="false" outlineLevel="0" collapsed="false">
      <c r="B7" s="18" t="s">
        <v>398</v>
      </c>
    </row>
    <row r="8" customFormat="false" ht="31.5" hidden="false" customHeight="true" outlineLevel="0" collapsed="false">
      <c r="B8" s="5" t="s">
        <v>399</v>
      </c>
      <c r="C8" s="5" t="s">
        <v>6</v>
      </c>
      <c r="D8" s="5" t="s">
        <v>400</v>
      </c>
      <c r="E8" s="5" t="s">
        <v>401</v>
      </c>
      <c r="F8" s="5" t="s">
        <v>402</v>
      </c>
      <c r="G8" s="5" t="s">
        <v>403</v>
      </c>
      <c r="H8" s="5" t="s">
        <v>319</v>
      </c>
      <c r="I8" s="5" t="s">
        <v>72</v>
      </c>
    </row>
    <row r="9" customFormat="false" ht="36" hidden="false" customHeight="true" outlineLevel="0" collapsed="false">
      <c r="B9" s="7" t="s">
        <v>404</v>
      </c>
      <c r="C9" s="64" t="n">
        <v>829</v>
      </c>
      <c r="D9" s="52" t="n">
        <v>0.49</v>
      </c>
      <c r="E9" s="19" t="n">
        <f aca="false">C9*D9</f>
        <v>406.21</v>
      </c>
      <c r="F9" s="9" t="n">
        <f aca="false">180/C9</f>
        <v>0.217129071170084</v>
      </c>
      <c r="G9" s="19" t="n">
        <f aca="false">C9*F9</f>
        <v>180</v>
      </c>
      <c r="H9" s="29" t="s">
        <v>405</v>
      </c>
      <c r="I9" s="3" t="s">
        <v>406</v>
      </c>
    </row>
    <row r="10" customFormat="false" ht="36" hidden="false" customHeight="true" outlineLevel="0" collapsed="false">
      <c r="B10" s="7" t="s">
        <v>407</v>
      </c>
      <c r="C10" s="64" t="n">
        <v>159.8</v>
      </c>
      <c r="D10" s="52" t="n">
        <v>0.59</v>
      </c>
      <c r="E10" s="19" t="n">
        <f aca="false">C10*D10</f>
        <v>94.282</v>
      </c>
      <c r="F10" s="65" t="n">
        <v>0.1</v>
      </c>
      <c r="G10" s="19" t="n">
        <f aca="false">C10*F10</f>
        <v>15.98</v>
      </c>
      <c r="H10" s="29" t="s">
        <v>408</v>
      </c>
      <c r="I10" s="3" t="s">
        <v>409</v>
      </c>
    </row>
    <row r="11" customFormat="false" ht="36" hidden="false" customHeight="true" outlineLevel="0" collapsed="false">
      <c r="B11" s="7" t="s">
        <v>410</v>
      </c>
      <c r="C11" s="64" t="n">
        <v>134.4</v>
      </c>
      <c r="D11" s="52" t="n">
        <v>0.37</v>
      </c>
      <c r="E11" s="19" t="n">
        <f aca="false">C11*D11</f>
        <v>49.728</v>
      </c>
      <c r="F11" s="65" t="n">
        <v>0.14</v>
      </c>
      <c r="G11" s="19" t="n">
        <f aca="false">C11*F11</f>
        <v>18.816</v>
      </c>
      <c r="H11" s="29" t="s">
        <v>411</v>
      </c>
      <c r="I11" s="3" t="s">
        <v>412</v>
      </c>
    </row>
    <row r="12" customFormat="false" ht="36" hidden="false" customHeight="true" outlineLevel="0" collapsed="false">
      <c r="B12" s="7" t="s">
        <v>356</v>
      </c>
      <c r="C12" s="64" t="n">
        <v>95</v>
      </c>
      <c r="D12" s="52" t="n">
        <v>0.42</v>
      </c>
      <c r="E12" s="19" t="n">
        <f aca="false">C12*D12</f>
        <v>39.9</v>
      </c>
      <c r="F12" s="65" t="n">
        <v>0.1</v>
      </c>
      <c r="G12" s="19" t="n">
        <f aca="false">C12*F12</f>
        <v>9.5</v>
      </c>
      <c r="H12" s="29" t="s">
        <v>413</v>
      </c>
      <c r="I12" s="3" t="s">
        <v>414</v>
      </c>
    </row>
    <row r="13" customFormat="false" ht="36" hidden="false" customHeight="true" outlineLevel="0" collapsed="false">
      <c r="B13" s="7" t="s">
        <v>360</v>
      </c>
      <c r="C13" s="19" t="n">
        <f aca="false">Inputs!$D$6-SUM(C9:C12)</f>
        <v>499.8</v>
      </c>
      <c r="D13" s="52" t="n">
        <v>0.5</v>
      </c>
      <c r="E13" s="19" t="n">
        <f aca="false">C13*D13</f>
        <v>249.9</v>
      </c>
      <c r="F13" s="65" t="n">
        <v>0.1</v>
      </c>
      <c r="G13" s="19" t="n">
        <f aca="false">C13*F13</f>
        <v>49.98</v>
      </c>
      <c r="H13" s="29" t="s">
        <v>415</v>
      </c>
      <c r="I13" s="3" t="s">
        <v>114</v>
      </c>
    </row>
    <row r="14" customFormat="false" ht="15" hidden="false" customHeight="false" outlineLevel="0" collapsed="false">
      <c r="B14" s="13" t="s">
        <v>22</v>
      </c>
      <c r="C14" s="38" t="n">
        <f aca="false">SUM(C9:C13)</f>
        <v>1718</v>
      </c>
      <c r="D14" s="15" t="n">
        <f aca="false">E14/C14</f>
        <v>0.48895227008149</v>
      </c>
      <c r="E14" s="38" t="n">
        <f aca="false">SUM(E9:E13)</f>
        <v>840.02</v>
      </c>
      <c r="F14" s="15" t="n">
        <f aca="false">G14/C14</f>
        <v>0.159648428405122</v>
      </c>
      <c r="G14" s="38" t="n">
        <f aca="false">SUM(G9:G13)</f>
        <v>274.276</v>
      </c>
      <c r="H14" s="37"/>
      <c r="I14" s="37"/>
    </row>
    <row r="15" customFormat="false" ht="15" hidden="false" customHeight="false" outlineLevel="0" collapsed="false">
      <c r="B15" s="3" t="s">
        <v>416</v>
      </c>
      <c r="D15" s="52" t="n">
        <v>0.45</v>
      </c>
      <c r="E15" s="52" t="n">
        <v>0.55</v>
      </c>
    </row>
    <row r="16" customFormat="false" ht="15" hidden="false" customHeight="false" outlineLevel="0" collapsed="false">
      <c r="B16" s="3" t="s">
        <v>417</v>
      </c>
      <c r="D16" s="52" t="n">
        <v>0.08</v>
      </c>
      <c r="E16" s="52" t="n">
        <v>0.12</v>
      </c>
    </row>
    <row r="18" customFormat="false" ht="15" hidden="false" customHeight="false" outlineLevel="0" collapsed="false">
      <c r="B18" s="18" t="s">
        <v>418</v>
      </c>
    </row>
    <row r="19" customFormat="false" ht="31.5" hidden="false" customHeight="true" outlineLevel="0" collapsed="false">
      <c r="B19" s="5" t="s">
        <v>419</v>
      </c>
      <c r="C19" s="5" t="s">
        <v>6</v>
      </c>
      <c r="D19" s="5" t="s">
        <v>420</v>
      </c>
      <c r="E19" s="5" t="s">
        <v>421</v>
      </c>
      <c r="F19" s="5" t="s">
        <v>422</v>
      </c>
      <c r="G19" s="5" t="s">
        <v>70</v>
      </c>
      <c r="H19" s="5" t="s">
        <v>423</v>
      </c>
      <c r="I19" s="5" t="s">
        <v>72</v>
      </c>
    </row>
    <row r="20" customFormat="false" ht="48" hidden="false" customHeight="true" outlineLevel="0" collapsed="false">
      <c r="B20" s="7" t="s">
        <v>13</v>
      </c>
      <c r="C20" s="36" t="n">
        <f aca="false">Summary!C6</f>
        <v>842</v>
      </c>
      <c r="D20" s="23" t="n">
        <f aca="false">C20/Inputs!$D$6</f>
        <v>0.490104772991851</v>
      </c>
      <c r="E20" s="19" t="n">
        <f aca="false">E14-E13+C13*D15</f>
        <v>815.03</v>
      </c>
      <c r="F20" s="19" t="n">
        <f aca="false">E14-E13+C13*E15</f>
        <v>865.01</v>
      </c>
      <c r="G20" s="66" t="str">
        <f aca="false">IF(C20&lt;E20-0.5,"Below range",IF(C20&gt;F20+0.5,"Above range",IF(OR(C20&gt;F20-(F20-E20)*0.1,C20&lt;E20+(F20-E20)*0.1),"Within (edge)","Within range")))</f>
        <v>Within range</v>
      </c>
      <c r="H20" s="29" t="s">
        <v>424</v>
      </c>
      <c r="I20" s="3" t="s">
        <v>425</v>
      </c>
    </row>
    <row r="21" customFormat="false" ht="48" hidden="false" customHeight="true" outlineLevel="0" collapsed="false">
      <c r="B21" s="7" t="s">
        <v>14</v>
      </c>
      <c r="C21" s="36" t="n">
        <f aca="false">Summary!C7</f>
        <v>279</v>
      </c>
      <c r="D21" s="23" t="n">
        <f aca="false">C21/Inputs!$D$6</f>
        <v>0.162398137369034</v>
      </c>
      <c r="E21" s="19" t="n">
        <f aca="false">G14-G13+C13*D16</f>
        <v>264.28</v>
      </c>
      <c r="F21" s="19" t="n">
        <f aca="false">G14-G13+C13*E16</f>
        <v>284.272</v>
      </c>
      <c r="G21" s="66" t="str">
        <f aca="false">IF(C21&lt;E21-0.5,"Below range",IF(C21&gt;F21+0.5,"Above range",IF(OR(C21&gt;F21-(F21-E21)*0.1,C21&lt;E21+(F21-E21)*0.1),"Within (edge)","Within range")))</f>
        <v>Within range</v>
      </c>
      <c r="H21" s="29" t="s">
        <v>426</v>
      </c>
      <c r="I21" s="3" t="s">
        <v>427</v>
      </c>
    </row>
    <row r="22" customFormat="false" ht="48" hidden="false" customHeight="true" outlineLevel="0" collapsed="false">
      <c r="B22" s="7" t="s">
        <v>15</v>
      </c>
      <c r="C22" s="36" t="n">
        <f aca="false">Summary!C8</f>
        <v>128</v>
      </c>
      <c r="D22" s="23" t="n">
        <f aca="false">C22/Inputs!$D$6</f>
        <v>0.0745052386495926</v>
      </c>
      <c r="E22" s="64" t="n">
        <v>120</v>
      </c>
      <c r="F22" s="64" t="n">
        <v>150</v>
      </c>
      <c r="G22" s="66" t="str">
        <f aca="false">IF(C22&lt;E22-0.5,"Below range",IF(C22&gt;F22+0.5,"Above range",IF(OR(C22&gt;F22-(F22-E22)*0.1,C22&lt;E22+(F22-E22)*0.1),"Within (edge)","Within range")))</f>
        <v>Within range</v>
      </c>
      <c r="H22" s="29" t="s">
        <v>428</v>
      </c>
      <c r="I22" s="3" t="s">
        <v>429</v>
      </c>
    </row>
    <row r="23" customFormat="false" ht="48" hidden="false" customHeight="true" outlineLevel="0" collapsed="false">
      <c r="B23" s="7" t="s">
        <v>16</v>
      </c>
      <c r="C23" s="36" t="n">
        <f aca="false">Summary!C9</f>
        <v>60</v>
      </c>
      <c r="D23" s="23" t="n">
        <f aca="false">C23/Inputs!$D$6</f>
        <v>0.0349243306169965</v>
      </c>
      <c r="E23" s="64" t="n">
        <v>58</v>
      </c>
      <c r="F23" s="64" t="n">
        <v>75</v>
      </c>
      <c r="G23" s="66" t="str">
        <f aca="false">IF(C23&lt;E23-0.5,"Below range",IF(C23&gt;F23+0.5,"Above range",IF(OR(C23&gt;F23-(F23-E23)*0.1,C23&lt;E23+(F23-E23)*0.1),"Within (edge)","Within range")))</f>
        <v>Within range</v>
      </c>
      <c r="H23" s="29" t="s">
        <v>430</v>
      </c>
      <c r="I23" s="3" t="s">
        <v>431</v>
      </c>
    </row>
    <row r="24" customFormat="false" ht="48" hidden="false" customHeight="true" outlineLevel="0" collapsed="false">
      <c r="B24" s="7" t="s">
        <v>17</v>
      </c>
      <c r="C24" s="36" t="n">
        <f aca="false">Summary!C10</f>
        <v>59</v>
      </c>
      <c r="D24" s="23" t="n">
        <f aca="false">C24/Inputs!$D$6</f>
        <v>0.0343422584400466</v>
      </c>
      <c r="E24" s="64" t="n">
        <v>32</v>
      </c>
      <c r="F24" s="64" t="n">
        <v>57</v>
      </c>
      <c r="G24" s="66" t="str">
        <f aca="false">IF(C24&lt;E24-0.5,"Below range",IF(C24&gt;F24+0.5,"Above range",IF(OR(C24&gt;F24-(F24-E24)*0.1,C24&lt;E24+(F24-E24)*0.1),"Within (edge)","Within range")))</f>
        <v>Above range</v>
      </c>
      <c r="H24" s="29" t="s">
        <v>432</v>
      </c>
      <c r="I24" s="3" t="s">
        <v>433</v>
      </c>
    </row>
    <row r="25" customFormat="false" ht="48" hidden="false" customHeight="true" outlineLevel="0" collapsed="false">
      <c r="B25" s="7" t="s">
        <v>18</v>
      </c>
      <c r="C25" s="36" t="n">
        <f aca="false">Summary!C11</f>
        <v>196</v>
      </c>
      <c r="D25" s="23" t="n">
        <f aca="false">C25/Inputs!$D$6</f>
        <v>0.114086146682189</v>
      </c>
      <c r="E25" s="64" t="n">
        <v>150</v>
      </c>
      <c r="F25" s="64" t="n">
        <v>210</v>
      </c>
      <c r="G25" s="66" t="str">
        <f aca="false">IF(C25&lt;E25-0.5,"Below range",IF(C25&gt;F25+0.5,"Above range",IF(OR(C25&gt;F25-(F25-E25)*0.1,C25&lt;E25+(F25-E25)*0.1),"Within (edge)","Within range")))</f>
        <v>Within range</v>
      </c>
      <c r="H25" s="29" t="s">
        <v>434</v>
      </c>
      <c r="I25" s="3" t="s">
        <v>435</v>
      </c>
    </row>
    <row r="26" customFormat="false" ht="48" hidden="false" customHeight="true" outlineLevel="0" collapsed="false">
      <c r="B26" s="7" t="s">
        <v>215</v>
      </c>
      <c r="C26" s="36" t="n">
        <f aca="false">Summary!C12</f>
        <v>108</v>
      </c>
      <c r="D26" s="23" t="n">
        <f aca="false">C26/Inputs!$D$6</f>
        <v>0.0628637951105937</v>
      </c>
      <c r="E26" s="64" t="n">
        <v>35</v>
      </c>
      <c r="F26" s="64" t="n">
        <v>55</v>
      </c>
      <c r="G26" s="66" t="str">
        <f aca="false">IF(C26&lt;E26-0.5,"Below range",IF(C26&gt;F26+0.5,"Above range",IF(OR(C26&gt;F26-(F26-E26)*0.1,C26&lt;E26+(F26-E26)*0.1),"Within (edge)","Within range")))</f>
        <v>Above range</v>
      </c>
      <c r="H26" s="29" t="s">
        <v>436</v>
      </c>
      <c r="I26" s="3" t="s">
        <v>437</v>
      </c>
    </row>
    <row r="27" customFormat="false" ht="48" hidden="false" customHeight="true" outlineLevel="0" collapsed="false">
      <c r="B27" s="7" t="s">
        <v>20</v>
      </c>
      <c r="C27" s="36" t="n">
        <f aca="false">Summary!C13</f>
        <v>13</v>
      </c>
      <c r="D27" s="23" t="n">
        <f aca="false">C27/Inputs!$D$6</f>
        <v>0.00756693830034924</v>
      </c>
      <c r="E27" s="64" t="n">
        <v>8</v>
      </c>
      <c r="F27" s="64" t="n">
        <v>20</v>
      </c>
      <c r="G27" s="66" t="str">
        <f aca="false">IF(C27&lt;E27-0.5,"Below range",IF(C27&gt;F27+0.5,"Above range",IF(OR(C27&gt;F27-(F27-E27)*0.1,C27&lt;E27+(F27-E27)*0.1),"Within (edge)","Within range")))</f>
        <v>Within range</v>
      </c>
      <c r="H27" s="29" t="s">
        <v>438</v>
      </c>
      <c r="I27" s="3" t="s">
        <v>439</v>
      </c>
    </row>
    <row r="28" customFormat="false" ht="48" hidden="false" customHeight="true" outlineLevel="0" collapsed="false">
      <c r="B28" s="7" t="s">
        <v>21</v>
      </c>
      <c r="C28" s="36" t="n">
        <f aca="false">Summary!C14</f>
        <v>33</v>
      </c>
      <c r="D28" s="23" t="n">
        <f aca="false">C28/Inputs!$D$6</f>
        <v>0.0192083818393481</v>
      </c>
      <c r="E28" s="7"/>
      <c r="F28" s="7"/>
      <c r="G28" s="67" t="s">
        <v>440</v>
      </c>
      <c r="H28" s="29" t="s">
        <v>441</v>
      </c>
      <c r="I28" s="3"/>
    </row>
    <row r="29" customFormat="false" ht="48" hidden="false" customHeight="true" outlineLevel="0" collapsed="false">
      <c r="B29" s="7" t="s">
        <v>442</v>
      </c>
      <c r="C29" s="36" t="n">
        <f aca="false">Inputs!$D$9</f>
        <v>189</v>
      </c>
      <c r="D29" s="23" t="n">
        <f aca="false">C29/Inputs!$D$6</f>
        <v>0.110011641443539</v>
      </c>
      <c r="E29" s="64" t="n">
        <v>155</v>
      </c>
      <c r="F29" s="64" t="n">
        <v>180</v>
      </c>
      <c r="G29" s="66" t="str">
        <f aca="false">IF(C29&lt;E29-0.5,"Below range",IF(C29&gt;F29+0.5,"Above range",IF(OR(C29&gt;F29-(F29-E29)*0.1,C29&lt;E29+(F29-E29)*0.1),"Within (edge)","Within range")))</f>
        <v>Above range</v>
      </c>
      <c r="H29" s="29" t="s">
        <v>443</v>
      </c>
      <c r="I29" s="3" t="s">
        <v>444</v>
      </c>
    </row>
    <row r="30" customFormat="false" ht="48" hidden="false" customHeight="true" outlineLevel="0" collapsed="false">
      <c r="B30" s="7" t="s">
        <v>445</v>
      </c>
      <c r="C30" s="36" t="n">
        <f aca="false">Inputs!$D$6</f>
        <v>1718</v>
      </c>
      <c r="D30" s="23" t="n">
        <f aca="false">C30/Inputs!$D$6</f>
        <v>1</v>
      </c>
      <c r="E30" s="64" t="n">
        <v>1710</v>
      </c>
      <c r="F30" s="64" t="n">
        <v>1725</v>
      </c>
      <c r="G30" s="66" t="str">
        <f aca="false">IF(C30&lt;E30-0.5,"Below range",IF(C30&gt;F30+0.5,"Above range",IF(OR(C30&gt;F30-(F30-E30)*0.1,C30&lt;E30+(F30-E30)*0.1),"Within (edge)","Within range")))</f>
        <v>Within range</v>
      </c>
      <c r="H30" s="29" t="s">
        <v>446</v>
      </c>
      <c r="I30" s="3" t="s">
        <v>447</v>
      </c>
    </row>
    <row r="32" customFormat="false" ht="15" hidden="false" customHeight="false" outlineLevel="0" collapsed="false">
      <c r="B32" s="18" t="s">
        <v>448</v>
      </c>
    </row>
    <row r="33" customFormat="false" ht="30" hidden="false" customHeight="true" outlineLevel="0" collapsed="false">
      <c r="B33" s="68" t="s">
        <v>449</v>
      </c>
      <c r="C33" s="68"/>
      <c r="D33" s="68"/>
      <c r="E33" s="68"/>
      <c r="F33" s="68"/>
      <c r="G33" s="68"/>
      <c r="H33" s="68"/>
      <c r="I33" s="68"/>
    </row>
    <row r="34" customFormat="false" ht="30" hidden="false" customHeight="true" outlineLevel="0" collapsed="false">
      <c r="B34" s="68" t="s">
        <v>450</v>
      </c>
      <c r="C34" s="68"/>
      <c r="D34" s="68"/>
      <c r="E34" s="68"/>
      <c r="F34" s="68"/>
      <c r="G34" s="68"/>
      <c r="H34" s="68"/>
      <c r="I34" s="68"/>
    </row>
    <row r="35" customFormat="false" ht="30" hidden="false" customHeight="true" outlineLevel="0" collapsed="false">
      <c r="B35" s="68" t="s">
        <v>451</v>
      </c>
      <c r="C35" s="68"/>
      <c r="D35" s="68"/>
      <c r="E35" s="68"/>
      <c r="F35" s="68"/>
      <c r="G35" s="68"/>
      <c r="H35" s="68"/>
      <c r="I35" s="68"/>
    </row>
    <row r="36" customFormat="false" ht="43.5" hidden="false" customHeight="true" outlineLevel="0" collapsed="false">
      <c r="B36" s="68" t="s">
        <v>452</v>
      </c>
      <c r="C36" s="68"/>
      <c r="D36" s="68"/>
      <c r="E36" s="68"/>
      <c r="F36" s="68"/>
      <c r="G36" s="68"/>
      <c r="H36" s="68"/>
      <c r="I36" s="68"/>
    </row>
    <row r="37" customFormat="false" ht="30" hidden="false" customHeight="true" outlineLevel="0" collapsed="false">
      <c r="B37" s="68" t="s">
        <v>453</v>
      </c>
      <c r="C37" s="68"/>
      <c r="D37" s="68"/>
      <c r="E37" s="68"/>
      <c r="F37" s="68"/>
      <c r="G37" s="68"/>
      <c r="H37" s="68"/>
      <c r="I37" s="68"/>
    </row>
    <row r="38" customFormat="false" ht="30" hidden="false" customHeight="true" outlineLevel="0" collapsed="false">
      <c r="B38" s="68" t="s">
        <v>454</v>
      </c>
      <c r="C38" s="68"/>
      <c r="D38" s="68"/>
      <c r="E38" s="68"/>
      <c r="F38" s="68"/>
      <c r="G38" s="68"/>
      <c r="H38" s="68"/>
      <c r="I38" s="68"/>
    </row>
  </sheetData>
  <mergeCells count="9">
    <mergeCell ref="B2:I2"/>
    <mergeCell ref="B3:I3"/>
    <mergeCell ref="C5:I5"/>
    <mergeCell ref="B33:I33"/>
    <mergeCell ref="B34:I34"/>
    <mergeCell ref="B35:I35"/>
    <mergeCell ref="B36:I36"/>
    <mergeCell ref="B37:I37"/>
    <mergeCell ref="B38:I38"/>
  </mergeCells>
  <hyperlinks>
    <hyperlink ref="B1" r:id="rId1" display="CROSS-CHECKS AGAINST INDEPENDENT 2025 EVIDENCE"/>
    <hyperlink ref="H1" r:id="rId2" display="2025 demand data"/>
    <hyperlink ref="I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H3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4" topLeftCell="C5" activePane="bottomRight" state="frozen"/>
      <selection pane="topLeft" activeCell="A1" activeCellId="0" sqref="A1"/>
      <selection pane="topRight" activeCell="C1" activeCellId="0" sqref="C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5"/>
    <col collapsed="false" customWidth="true" hidden="false" outlineLevel="0" max="3" min="3" style="0" width="16"/>
    <col collapsed="false" customWidth="true" hidden="false" outlineLevel="0" max="4" min="4" style="0" width="32"/>
    <col collapsed="false" customWidth="true" hidden="false" outlineLevel="0" max="5" min="5" style="0" width="34"/>
    <col collapsed="false" customWidth="true" hidden="false" outlineLevel="0" max="6" min="6" style="0" width="14"/>
    <col collapsed="false" customWidth="true" hidden="false" outlineLevel="0" max="7" min="7" style="0" width="62"/>
    <col collapsed="false" customWidth="true" hidden="false" outlineLevel="0" max="8" min="8" style="0" width="12"/>
  </cols>
  <sheetData>
    <row r="1" customFormat="false" ht="20.25" hidden="false" customHeight="true" outlineLevel="0" collapsed="false">
      <c r="B1" s="1" t="s">
        <v>455</v>
      </c>
      <c r="G1" s="2" t="s">
        <v>1</v>
      </c>
      <c r="H1" s="2" t="s">
        <v>2</v>
      </c>
    </row>
    <row r="2" customFormat="false" ht="29.25" hidden="false" customHeight="true" outlineLevel="0" collapsed="false">
      <c r="B2" s="17" t="s">
        <v>456</v>
      </c>
      <c r="C2" s="17"/>
      <c r="D2" s="17"/>
      <c r="E2" s="17"/>
      <c r="F2" s="17"/>
      <c r="G2" s="17"/>
    </row>
    <row r="3" customFormat="false" ht="41.25" hidden="false" customHeight="true" outlineLevel="0" collapsed="false">
      <c r="B3" s="4" t="s">
        <v>4</v>
      </c>
      <c r="C3" s="4"/>
      <c r="D3" s="4"/>
      <c r="E3" s="4"/>
      <c r="F3" s="4"/>
      <c r="G3" s="4"/>
      <c r="H3" s="4"/>
    </row>
    <row r="5" customFormat="false" ht="24" hidden="false" customHeight="true" outlineLevel="0" collapsed="false">
      <c r="B5" s="5" t="s">
        <v>457</v>
      </c>
      <c r="C5" s="5" t="s">
        <v>458</v>
      </c>
      <c r="D5" s="5" t="s">
        <v>459</v>
      </c>
      <c r="E5" s="5" t="s">
        <v>460</v>
      </c>
      <c r="F5" s="5" t="s">
        <v>319</v>
      </c>
      <c r="G5" s="5" t="s">
        <v>461</v>
      </c>
      <c r="H5" s="5" t="s">
        <v>72</v>
      </c>
    </row>
    <row r="6" customFormat="false" ht="30" hidden="false" customHeight="true" outlineLevel="0" collapsed="false">
      <c r="B6" s="7" t="n">
        <v>1</v>
      </c>
      <c r="C6" s="26" t="s">
        <v>462</v>
      </c>
      <c r="D6" s="26" t="s">
        <v>445</v>
      </c>
      <c r="E6" s="69" t="s">
        <v>463</v>
      </c>
      <c r="F6" s="26" t="s">
        <v>77</v>
      </c>
      <c r="G6" s="29" t="s">
        <v>464</v>
      </c>
      <c r="H6" s="29" t="s">
        <v>465</v>
      </c>
    </row>
    <row r="7" customFormat="false" ht="30" hidden="false" customHeight="true" outlineLevel="0" collapsed="false">
      <c r="B7" s="7" t="n">
        <v>2</v>
      </c>
      <c r="C7" s="26" t="s">
        <v>462</v>
      </c>
      <c r="D7" s="26" t="s">
        <v>466</v>
      </c>
      <c r="E7" s="69" t="s">
        <v>467</v>
      </c>
      <c r="F7" s="26" t="s">
        <v>82</v>
      </c>
      <c r="G7" s="29" t="s">
        <v>468</v>
      </c>
      <c r="H7" s="29" t="s">
        <v>469</v>
      </c>
    </row>
    <row r="8" customFormat="false" ht="30" hidden="false" customHeight="true" outlineLevel="0" collapsed="false">
      <c r="B8" s="7" t="n">
        <v>3</v>
      </c>
      <c r="C8" s="26" t="s">
        <v>470</v>
      </c>
      <c r="D8" s="26" t="s">
        <v>471</v>
      </c>
      <c r="E8" s="69" t="s">
        <v>472</v>
      </c>
      <c r="F8" s="26" t="s">
        <v>77</v>
      </c>
      <c r="G8" s="29" t="s">
        <v>473</v>
      </c>
      <c r="H8" s="29" t="s">
        <v>160</v>
      </c>
    </row>
    <row r="9" customFormat="false" ht="30" hidden="false" customHeight="true" outlineLevel="0" collapsed="false">
      <c r="B9" s="7" t="n">
        <v>4</v>
      </c>
      <c r="C9" s="26" t="s">
        <v>470</v>
      </c>
      <c r="D9" s="26" t="s">
        <v>474</v>
      </c>
      <c r="E9" s="69" t="s">
        <v>475</v>
      </c>
      <c r="F9" s="26" t="s">
        <v>93</v>
      </c>
      <c r="G9" s="29" t="s">
        <v>476</v>
      </c>
      <c r="H9" s="29" t="s">
        <v>477</v>
      </c>
    </row>
    <row r="10" customFormat="false" ht="30" hidden="false" customHeight="true" outlineLevel="0" collapsed="false">
      <c r="B10" s="7" t="n">
        <v>5</v>
      </c>
      <c r="C10" s="26" t="s">
        <v>470</v>
      </c>
      <c r="D10" s="26" t="s">
        <v>478</v>
      </c>
      <c r="E10" s="69" t="s">
        <v>479</v>
      </c>
      <c r="F10" s="26" t="s">
        <v>93</v>
      </c>
      <c r="G10" s="29" t="s">
        <v>480</v>
      </c>
      <c r="H10" s="29" t="s">
        <v>114</v>
      </c>
    </row>
    <row r="11" customFormat="false" ht="30" hidden="false" customHeight="true" outlineLevel="0" collapsed="false">
      <c r="B11" s="7" t="n">
        <v>6</v>
      </c>
      <c r="C11" s="26" t="s">
        <v>15</v>
      </c>
      <c r="D11" s="26" t="s">
        <v>481</v>
      </c>
      <c r="E11" s="69" t="s">
        <v>482</v>
      </c>
      <c r="F11" s="26" t="s">
        <v>483</v>
      </c>
      <c r="G11" s="29" t="s">
        <v>484</v>
      </c>
      <c r="H11" s="29" t="s">
        <v>485</v>
      </c>
    </row>
    <row r="12" customFormat="false" ht="30" hidden="false" customHeight="true" outlineLevel="0" collapsed="false">
      <c r="B12" s="7" t="n">
        <v>7</v>
      </c>
      <c r="C12" s="26" t="s">
        <v>15</v>
      </c>
      <c r="D12" s="26" t="s">
        <v>486</v>
      </c>
      <c r="E12" s="69" t="s">
        <v>487</v>
      </c>
      <c r="F12" s="26" t="s">
        <v>77</v>
      </c>
      <c r="G12" s="29" t="s">
        <v>488</v>
      </c>
      <c r="H12" s="29" t="s">
        <v>101</v>
      </c>
    </row>
    <row r="13" customFormat="false" ht="30" hidden="false" customHeight="true" outlineLevel="0" collapsed="false">
      <c r="B13" s="7" t="n">
        <v>8</v>
      </c>
      <c r="C13" s="26" t="s">
        <v>15</v>
      </c>
      <c r="D13" s="26" t="s">
        <v>489</v>
      </c>
      <c r="E13" s="69" t="s">
        <v>490</v>
      </c>
      <c r="F13" s="26" t="s">
        <v>93</v>
      </c>
      <c r="G13" s="29" t="s">
        <v>491</v>
      </c>
      <c r="H13" s="29" t="s">
        <v>122</v>
      </c>
    </row>
    <row r="14" customFormat="false" ht="30" hidden="false" customHeight="true" outlineLevel="0" collapsed="false">
      <c r="B14" s="7" t="n">
        <v>9</v>
      </c>
      <c r="C14" s="26" t="s">
        <v>492</v>
      </c>
      <c r="D14" s="26" t="s">
        <v>493</v>
      </c>
      <c r="E14" s="69" t="s">
        <v>494</v>
      </c>
      <c r="F14" s="26" t="s">
        <v>495</v>
      </c>
      <c r="G14" s="29" t="s">
        <v>496</v>
      </c>
      <c r="H14" s="29" t="s">
        <v>497</v>
      </c>
    </row>
    <row r="15" customFormat="false" ht="30" hidden="false" customHeight="true" outlineLevel="0" collapsed="false">
      <c r="B15" s="7" t="n">
        <v>10</v>
      </c>
      <c r="C15" s="26" t="s">
        <v>498</v>
      </c>
      <c r="D15" s="26" t="s">
        <v>499</v>
      </c>
      <c r="E15" s="69" t="s">
        <v>500</v>
      </c>
      <c r="F15" s="26" t="s">
        <v>501</v>
      </c>
      <c r="G15" s="29" t="s">
        <v>502</v>
      </c>
      <c r="H15" s="29" t="s">
        <v>503</v>
      </c>
    </row>
    <row r="16" customFormat="false" ht="30" hidden="false" customHeight="true" outlineLevel="0" collapsed="false">
      <c r="B16" s="7" t="n">
        <v>11</v>
      </c>
      <c r="C16" s="26" t="s">
        <v>504</v>
      </c>
      <c r="D16" s="26" t="s">
        <v>505</v>
      </c>
      <c r="E16" s="69" t="s">
        <v>506</v>
      </c>
      <c r="F16" s="26" t="s">
        <v>495</v>
      </c>
      <c r="G16" s="29" t="s">
        <v>507</v>
      </c>
      <c r="H16" s="29" t="s">
        <v>508</v>
      </c>
    </row>
    <row r="17" customFormat="false" ht="30" hidden="false" customHeight="true" outlineLevel="0" collapsed="false">
      <c r="B17" s="7" t="n">
        <v>12</v>
      </c>
      <c r="C17" s="26" t="s">
        <v>272</v>
      </c>
      <c r="D17" s="26" t="s">
        <v>509</v>
      </c>
      <c r="E17" s="69" t="s">
        <v>510</v>
      </c>
      <c r="F17" s="26" t="s">
        <v>93</v>
      </c>
      <c r="G17" s="29" t="s">
        <v>511</v>
      </c>
      <c r="H17" s="29" t="s">
        <v>114</v>
      </c>
    </row>
    <row r="18" customFormat="false" ht="30" hidden="false" customHeight="true" outlineLevel="0" collapsed="false">
      <c r="B18" s="7" t="n">
        <v>13</v>
      </c>
      <c r="C18" s="26" t="s">
        <v>249</v>
      </c>
      <c r="D18" s="26" t="s">
        <v>512</v>
      </c>
      <c r="E18" s="69" t="s">
        <v>513</v>
      </c>
      <c r="F18" s="26" t="s">
        <v>93</v>
      </c>
      <c r="G18" s="29" t="s">
        <v>514</v>
      </c>
      <c r="H18" s="29" t="s">
        <v>114</v>
      </c>
    </row>
    <row r="19" customFormat="false" ht="30" hidden="false" customHeight="true" outlineLevel="0" collapsed="false">
      <c r="B19" s="7" t="n">
        <v>14</v>
      </c>
      <c r="C19" s="26" t="s">
        <v>515</v>
      </c>
      <c r="D19" s="26" t="s">
        <v>516</v>
      </c>
      <c r="E19" s="69" t="s">
        <v>517</v>
      </c>
      <c r="F19" s="26" t="s">
        <v>495</v>
      </c>
      <c r="G19" s="29" t="s">
        <v>518</v>
      </c>
      <c r="H19" s="29" t="s">
        <v>174</v>
      </c>
    </row>
    <row r="20" customFormat="false" ht="30" hidden="false" customHeight="true" outlineLevel="0" collapsed="false">
      <c r="B20" s="7" t="n">
        <v>15</v>
      </c>
      <c r="C20" s="26" t="s">
        <v>519</v>
      </c>
      <c r="D20" s="26" t="s">
        <v>520</v>
      </c>
      <c r="E20" s="69" t="s">
        <v>521</v>
      </c>
      <c r="F20" s="26" t="s">
        <v>495</v>
      </c>
      <c r="G20" s="29" t="s">
        <v>522</v>
      </c>
      <c r="H20" s="29" t="s">
        <v>523</v>
      </c>
    </row>
    <row r="21" customFormat="false" ht="30" hidden="false" customHeight="true" outlineLevel="0" collapsed="false">
      <c r="B21" s="7" t="n">
        <v>16</v>
      </c>
      <c r="C21" s="26" t="s">
        <v>247</v>
      </c>
      <c r="D21" s="26" t="s">
        <v>524</v>
      </c>
      <c r="E21" s="69" t="s">
        <v>525</v>
      </c>
      <c r="F21" s="26" t="s">
        <v>93</v>
      </c>
      <c r="G21" s="29" t="s">
        <v>526</v>
      </c>
      <c r="H21" s="29" t="s">
        <v>114</v>
      </c>
    </row>
    <row r="22" customFormat="false" ht="30" hidden="false" customHeight="true" outlineLevel="0" collapsed="false">
      <c r="B22" s="7" t="n">
        <v>17</v>
      </c>
      <c r="C22" s="26" t="s">
        <v>527</v>
      </c>
      <c r="D22" s="26" t="s">
        <v>528</v>
      </c>
      <c r="E22" s="69" t="s">
        <v>529</v>
      </c>
      <c r="F22" s="26" t="s">
        <v>200</v>
      </c>
      <c r="G22" s="29" t="s">
        <v>530</v>
      </c>
      <c r="H22" s="29" t="s">
        <v>202</v>
      </c>
    </row>
    <row r="23" customFormat="false" ht="30" hidden="false" customHeight="true" outlineLevel="0" collapsed="false">
      <c r="B23" s="7" t="n">
        <v>18</v>
      </c>
      <c r="C23" s="26" t="s">
        <v>531</v>
      </c>
      <c r="D23" s="26" t="s">
        <v>532</v>
      </c>
      <c r="E23" s="69" t="s">
        <v>533</v>
      </c>
      <c r="F23" s="26" t="s">
        <v>534</v>
      </c>
      <c r="G23" s="29" t="s">
        <v>535</v>
      </c>
      <c r="H23" s="29" t="s">
        <v>208</v>
      </c>
    </row>
    <row r="24" customFormat="false" ht="30" hidden="false" customHeight="true" outlineLevel="0" collapsed="false">
      <c r="B24" s="7" t="n">
        <v>19</v>
      </c>
      <c r="C24" s="26" t="s">
        <v>536</v>
      </c>
      <c r="D24" s="26" t="s">
        <v>537</v>
      </c>
      <c r="E24" s="69" t="s">
        <v>538</v>
      </c>
      <c r="F24" s="26" t="s">
        <v>93</v>
      </c>
      <c r="G24" s="29" t="s">
        <v>539</v>
      </c>
      <c r="H24" s="29" t="s">
        <v>114</v>
      </c>
    </row>
    <row r="25" customFormat="false" ht="30" hidden="false" customHeight="true" outlineLevel="0" collapsed="false">
      <c r="B25" s="7" t="n">
        <v>20</v>
      </c>
      <c r="C25" s="26" t="s">
        <v>242</v>
      </c>
      <c r="D25" s="26" t="s">
        <v>540</v>
      </c>
      <c r="E25" s="69" t="s">
        <v>541</v>
      </c>
      <c r="F25" s="26" t="s">
        <v>93</v>
      </c>
      <c r="G25" s="29" t="s">
        <v>542</v>
      </c>
      <c r="H25" s="29" t="s">
        <v>95</v>
      </c>
    </row>
    <row r="26" customFormat="false" ht="30" hidden="false" customHeight="true" outlineLevel="0" collapsed="false">
      <c r="B26" s="7" t="n">
        <v>21</v>
      </c>
      <c r="C26" s="26" t="s">
        <v>20</v>
      </c>
      <c r="D26" s="26" t="s">
        <v>543</v>
      </c>
      <c r="E26" s="69" t="s">
        <v>544</v>
      </c>
      <c r="F26" s="26" t="s">
        <v>483</v>
      </c>
      <c r="G26" s="29" t="s">
        <v>545</v>
      </c>
      <c r="H26" s="29" t="s">
        <v>546</v>
      </c>
    </row>
    <row r="27" customFormat="false" ht="30" hidden="false" customHeight="true" outlineLevel="0" collapsed="false">
      <c r="B27" s="7" t="n">
        <v>22</v>
      </c>
      <c r="C27" s="26" t="s">
        <v>547</v>
      </c>
      <c r="D27" s="26" t="s">
        <v>548</v>
      </c>
      <c r="E27" s="69" t="s">
        <v>549</v>
      </c>
      <c r="F27" s="26" t="s">
        <v>93</v>
      </c>
      <c r="G27" s="29" t="s">
        <v>550</v>
      </c>
      <c r="H27" s="29" t="s">
        <v>551</v>
      </c>
    </row>
    <row r="28" customFormat="false" ht="30" hidden="false" customHeight="true" outlineLevel="0" collapsed="false">
      <c r="B28" s="7" t="n">
        <v>23</v>
      </c>
      <c r="C28" s="26" t="s">
        <v>547</v>
      </c>
      <c r="D28" s="26" t="s">
        <v>552</v>
      </c>
      <c r="E28" s="69" t="s">
        <v>553</v>
      </c>
      <c r="F28" s="26" t="s">
        <v>93</v>
      </c>
      <c r="G28" s="29" t="s">
        <v>138</v>
      </c>
      <c r="H28" s="29" t="s">
        <v>114</v>
      </c>
    </row>
    <row r="29" customFormat="false" ht="30" hidden="false" customHeight="true" outlineLevel="0" collapsed="false">
      <c r="B29" s="7" t="n">
        <v>24</v>
      </c>
      <c r="C29" s="26" t="s">
        <v>547</v>
      </c>
      <c r="D29" s="26" t="s">
        <v>554</v>
      </c>
      <c r="E29" s="69" t="s">
        <v>555</v>
      </c>
      <c r="F29" s="26" t="s">
        <v>93</v>
      </c>
      <c r="G29" s="29" t="s">
        <v>138</v>
      </c>
      <c r="H29" s="29" t="s">
        <v>114</v>
      </c>
    </row>
    <row r="30" customFormat="false" ht="30" hidden="false" customHeight="true" outlineLevel="0" collapsed="false">
      <c r="B30" s="7" t="n">
        <v>25</v>
      </c>
      <c r="C30" s="26" t="s">
        <v>547</v>
      </c>
      <c r="D30" s="26" t="s">
        <v>556</v>
      </c>
      <c r="E30" s="69" t="s">
        <v>557</v>
      </c>
      <c r="F30" s="26" t="s">
        <v>93</v>
      </c>
      <c r="G30" s="29" t="s">
        <v>138</v>
      </c>
      <c r="H30" s="29" t="s">
        <v>114</v>
      </c>
    </row>
    <row r="31" customFormat="false" ht="30" hidden="false" customHeight="true" outlineLevel="0" collapsed="false">
      <c r="B31" s="7" t="n">
        <v>26</v>
      </c>
      <c r="C31" s="26" t="s">
        <v>547</v>
      </c>
      <c r="D31" s="26" t="s">
        <v>558</v>
      </c>
      <c r="E31" s="69" t="s">
        <v>559</v>
      </c>
      <c r="F31" s="26" t="s">
        <v>93</v>
      </c>
      <c r="G31" s="29" t="s">
        <v>138</v>
      </c>
      <c r="H31" s="29" t="s">
        <v>114</v>
      </c>
    </row>
    <row r="32" customFormat="false" ht="30" hidden="false" customHeight="true" outlineLevel="0" collapsed="false">
      <c r="B32" s="7" t="n">
        <v>27</v>
      </c>
      <c r="C32" s="26" t="s">
        <v>547</v>
      </c>
      <c r="D32" s="26" t="s">
        <v>560</v>
      </c>
      <c r="E32" s="69" t="s">
        <v>561</v>
      </c>
      <c r="F32" s="26" t="s">
        <v>93</v>
      </c>
      <c r="G32" s="29" t="s">
        <v>138</v>
      </c>
      <c r="H32" s="29" t="s">
        <v>114</v>
      </c>
    </row>
    <row r="33" customFormat="false" ht="30" hidden="false" customHeight="true" outlineLevel="0" collapsed="false">
      <c r="B33" s="7" t="n">
        <v>28</v>
      </c>
      <c r="C33" s="26" t="s">
        <v>547</v>
      </c>
      <c r="D33" s="26" t="s">
        <v>562</v>
      </c>
      <c r="E33" s="69" t="s">
        <v>563</v>
      </c>
      <c r="F33" s="26" t="s">
        <v>93</v>
      </c>
      <c r="G33" s="29" t="s">
        <v>138</v>
      </c>
      <c r="H33" s="29" t="s">
        <v>114</v>
      </c>
    </row>
    <row r="34" customFormat="false" ht="30" hidden="false" customHeight="true" outlineLevel="0" collapsed="false">
      <c r="B34" s="7" t="n">
        <v>29</v>
      </c>
      <c r="C34" s="26" t="s">
        <v>547</v>
      </c>
      <c r="D34" s="26" t="s">
        <v>564</v>
      </c>
      <c r="E34" s="69" t="s">
        <v>565</v>
      </c>
      <c r="F34" s="26" t="s">
        <v>93</v>
      </c>
      <c r="G34" s="29" t="s">
        <v>566</v>
      </c>
      <c r="H34" s="29" t="s">
        <v>114</v>
      </c>
    </row>
  </sheetData>
  <mergeCells count="2">
    <mergeCell ref="B2:G2"/>
    <mergeCell ref="B3:H3"/>
  </mergeCells>
  <hyperlinks>
    <hyperlink ref="B1" r:id="rId1" display="ASSUMPTION REGISTER"/>
    <hyperlink ref="G1" r:id="rId2" display="2025 demand data"/>
    <hyperlink ref="H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F4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6"/>
    <col collapsed="false" customWidth="true" hidden="false" outlineLevel="0" max="3" min="3" style="0" width="48"/>
    <col collapsed="false" customWidth="true" hidden="false" outlineLevel="0" max="4" min="4" style="0" width="34"/>
    <col collapsed="false" customWidth="true" hidden="false" outlineLevel="0" max="5" min="5" style="0" width="70"/>
    <col collapsed="false" customWidth="true" hidden="false" outlineLevel="0" max="6" min="6" style="0" width="26"/>
  </cols>
  <sheetData>
    <row r="1" customFormat="false" ht="20.25" hidden="false" customHeight="true" outlineLevel="0" collapsed="false">
      <c r="B1" s="1" t="s">
        <v>567</v>
      </c>
      <c r="E1" s="2" t="s">
        <v>1</v>
      </c>
      <c r="F1" s="2" t="s">
        <v>2</v>
      </c>
    </row>
    <row r="2" customFormat="false" ht="31.5" hidden="false" customHeight="true" outlineLevel="0" collapsed="false">
      <c r="B2" s="17" t="s">
        <v>568</v>
      </c>
      <c r="C2" s="17"/>
      <c r="D2" s="17"/>
      <c r="E2" s="17"/>
      <c r="F2" s="17"/>
    </row>
    <row r="3" customFormat="false" ht="41.25" hidden="false" customHeight="true" outlineLevel="0" collapsed="false">
      <c r="B3" s="4" t="s">
        <v>4</v>
      </c>
      <c r="C3" s="4"/>
      <c r="D3" s="4"/>
      <c r="E3" s="4"/>
      <c r="F3" s="4"/>
    </row>
    <row r="4" customFormat="false" ht="30" hidden="false" customHeight="true" outlineLevel="0" collapsed="false">
      <c r="B4" s="5" t="s">
        <v>66</v>
      </c>
      <c r="C4" s="5" t="s">
        <v>569</v>
      </c>
      <c r="D4" s="5" t="s">
        <v>570</v>
      </c>
      <c r="E4" s="5" t="s">
        <v>571</v>
      </c>
      <c r="F4" s="5" t="s">
        <v>70</v>
      </c>
    </row>
    <row r="5" customFormat="false" ht="23.85" hidden="false" customHeight="false" outlineLevel="0" collapsed="false">
      <c r="B5" s="69" t="s">
        <v>465</v>
      </c>
      <c r="C5" s="26" t="s">
        <v>572</v>
      </c>
      <c r="D5" s="26" t="s">
        <v>573</v>
      </c>
      <c r="E5" s="27" t="s">
        <v>574</v>
      </c>
      <c r="F5" s="26" t="s">
        <v>575</v>
      </c>
    </row>
    <row r="6" customFormat="false" ht="46.25" hidden="false" customHeight="false" outlineLevel="0" collapsed="false">
      <c r="B6" s="69" t="s">
        <v>576</v>
      </c>
      <c r="C6" s="26" t="s">
        <v>577</v>
      </c>
      <c r="D6" s="26" t="s">
        <v>578</v>
      </c>
      <c r="E6" s="27" t="s">
        <v>579</v>
      </c>
      <c r="F6" s="26" t="s">
        <v>575</v>
      </c>
    </row>
    <row r="7" customFormat="false" ht="23.85" hidden="false" customHeight="false" outlineLevel="0" collapsed="false">
      <c r="B7" s="69" t="s">
        <v>580</v>
      </c>
      <c r="C7" s="26" t="s">
        <v>581</v>
      </c>
      <c r="D7" s="26" t="s">
        <v>582</v>
      </c>
      <c r="E7" s="27" t="s">
        <v>583</v>
      </c>
      <c r="F7" s="26" t="s">
        <v>575</v>
      </c>
    </row>
    <row r="8" customFormat="false" ht="23.85" hidden="false" customHeight="false" outlineLevel="0" collapsed="false">
      <c r="B8" s="69" t="s">
        <v>584</v>
      </c>
      <c r="C8" s="26" t="s">
        <v>585</v>
      </c>
      <c r="D8" s="26" t="s">
        <v>586</v>
      </c>
      <c r="E8" s="27" t="s">
        <v>587</v>
      </c>
      <c r="F8" s="26" t="s">
        <v>575</v>
      </c>
    </row>
    <row r="9" customFormat="false" ht="35.05" hidden="false" customHeight="false" outlineLevel="0" collapsed="false">
      <c r="B9" s="69" t="s">
        <v>588</v>
      </c>
      <c r="C9" s="26" t="s">
        <v>589</v>
      </c>
      <c r="D9" s="26" t="s">
        <v>590</v>
      </c>
      <c r="E9" s="27" t="s">
        <v>591</v>
      </c>
      <c r="F9" s="26" t="s">
        <v>592</v>
      </c>
    </row>
    <row r="10" customFormat="false" ht="15" hidden="false" customHeight="false" outlineLevel="0" collapsed="false">
      <c r="B10" s="69" t="s">
        <v>593</v>
      </c>
      <c r="C10" s="26" t="s">
        <v>594</v>
      </c>
      <c r="D10" s="26" t="s">
        <v>595</v>
      </c>
      <c r="E10" s="27" t="s">
        <v>596</v>
      </c>
      <c r="F10" s="26" t="s">
        <v>575</v>
      </c>
    </row>
    <row r="11" customFormat="false" ht="23.85" hidden="false" customHeight="false" outlineLevel="0" collapsed="false">
      <c r="B11" s="69" t="s">
        <v>143</v>
      </c>
      <c r="C11" s="26" t="s">
        <v>597</v>
      </c>
      <c r="D11" s="26" t="s">
        <v>598</v>
      </c>
      <c r="E11" s="27" t="s">
        <v>599</v>
      </c>
      <c r="F11" s="26" t="s">
        <v>575</v>
      </c>
    </row>
    <row r="12" customFormat="false" ht="23.85" hidden="false" customHeight="false" outlineLevel="0" collapsed="false">
      <c r="B12" s="69" t="s">
        <v>600</v>
      </c>
      <c r="C12" s="26" t="s">
        <v>601</v>
      </c>
      <c r="D12" s="26" t="s">
        <v>602</v>
      </c>
      <c r="E12" s="27" t="s">
        <v>603</v>
      </c>
      <c r="F12" s="26" t="s">
        <v>575</v>
      </c>
    </row>
    <row r="13" customFormat="false" ht="35.05" hidden="false" customHeight="false" outlineLevel="0" collapsed="false">
      <c r="B13" s="69" t="s">
        <v>160</v>
      </c>
      <c r="C13" s="26" t="s">
        <v>604</v>
      </c>
      <c r="D13" s="26" t="s">
        <v>605</v>
      </c>
      <c r="E13" s="27" t="s">
        <v>606</v>
      </c>
      <c r="F13" s="26" t="s">
        <v>607</v>
      </c>
    </row>
    <row r="14" customFormat="false" ht="35.05" hidden="false" customHeight="false" outlineLevel="0" collapsed="false">
      <c r="B14" s="69" t="s">
        <v>174</v>
      </c>
      <c r="C14" s="26" t="s">
        <v>608</v>
      </c>
      <c r="D14" s="26" t="s">
        <v>609</v>
      </c>
      <c r="E14" s="27" t="s">
        <v>610</v>
      </c>
      <c r="F14" s="26" t="s">
        <v>611</v>
      </c>
    </row>
    <row r="15" customFormat="false" ht="23.85" hidden="false" customHeight="false" outlineLevel="0" collapsed="false">
      <c r="B15" s="69" t="s">
        <v>188</v>
      </c>
      <c r="C15" s="26" t="s">
        <v>612</v>
      </c>
      <c r="D15" s="26" t="s">
        <v>613</v>
      </c>
      <c r="E15" s="27" t="s">
        <v>614</v>
      </c>
      <c r="F15" s="26" t="s">
        <v>575</v>
      </c>
    </row>
    <row r="16" customFormat="false" ht="23.85" hidden="false" customHeight="false" outlineLevel="0" collapsed="false">
      <c r="B16" s="69" t="s">
        <v>202</v>
      </c>
      <c r="C16" s="26" t="s">
        <v>615</v>
      </c>
      <c r="D16" s="26" t="s">
        <v>616</v>
      </c>
      <c r="E16" s="27" t="s">
        <v>617</v>
      </c>
      <c r="F16" s="26" t="s">
        <v>575</v>
      </c>
    </row>
    <row r="17" customFormat="false" ht="23.85" hidden="false" customHeight="false" outlineLevel="0" collapsed="false">
      <c r="B17" s="69" t="s">
        <v>228</v>
      </c>
      <c r="C17" s="26" t="s">
        <v>618</v>
      </c>
      <c r="D17" s="26" t="s">
        <v>619</v>
      </c>
      <c r="E17" s="27" t="s">
        <v>620</v>
      </c>
      <c r="F17" s="26" t="s">
        <v>575</v>
      </c>
    </row>
    <row r="18" customFormat="false" ht="35.05" hidden="false" customHeight="false" outlineLevel="0" collapsed="false">
      <c r="B18" s="69" t="s">
        <v>621</v>
      </c>
      <c r="C18" s="26" t="s">
        <v>622</v>
      </c>
      <c r="D18" s="26" t="s">
        <v>623</v>
      </c>
      <c r="E18" s="27" t="s">
        <v>624</v>
      </c>
      <c r="F18" s="26" t="s">
        <v>575</v>
      </c>
    </row>
    <row r="19" customFormat="false" ht="23.85" hidden="false" customHeight="false" outlineLevel="0" collapsed="false">
      <c r="B19" s="69" t="s">
        <v>95</v>
      </c>
      <c r="C19" s="26" t="s">
        <v>625</v>
      </c>
      <c r="D19" s="26" t="s">
        <v>626</v>
      </c>
      <c r="E19" s="27" t="s">
        <v>627</v>
      </c>
      <c r="F19" s="26" t="s">
        <v>628</v>
      </c>
    </row>
    <row r="20" customFormat="false" ht="23.85" hidden="false" customHeight="false" outlineLevel="0" collapsed="false">
      <c r="B20" s="69" t="s">
        <v>195</v>
      </c>
      <c r="C20" s="26" t="s">
        <v>629</v>
      </c>
      <c r="D20" s="26" t="s">
        <v>630</v>
      </c>
      <c r="E20" s="27" t="s">
        <v>631</v>
      </c>
      <c r="F20" s="26" t="s">
        <v>575</v>
      </c>
    </row>
    <row r="21" customFormat="false" ht="23.85" hidden="false" customHeight="false" outlineLevel="0" collapsed="false">
      <c r="B21" s="69" t="s">
        <v>208</v>
      </c>
      <c r="C21" s="26" t="s">
        <v>632</v>
      </c>
      <c r="D21" s="26" t="s">
        <v>633</v>
      </c>
      <c r="E21" s="27" t="s">
        <v>634</v>
      </c>
      <c r="F21" s="26" t="s">
        <v>575</v>
      </c>
    </row>
    <row r="22" customFormat="false" ht="35.05" hidden="false" customHeight="false" outlineLevel="0" collapsed="false">
      <c r="B22" s="69" t="s">
        <v>635</v>
      </c>
      <c r="C22" s="26" t="s">
        <v>636</v>
      </c>
      <c r="D22" s="26" t="s">
        <v>637</v>
      </c>
      <c r="E22" s="27" t="s">
        <v>638</v>
      </c>
      <c r="F22" s="26" t="s">
        <v>575</v>
      </c>
    </row>
    <row r="23" customFormat="false" ht="23.85" hidden="false" customHeight="false" outlineLevel="0" collapsed="false">
      <c r="B23" s="69" t="s">
        <v>639</v>
      </c>
      <c r="C23" s="26" t="s">
        <v>640</v>
      </c>
      <c r="D23" s="26" t="s">
        <v>641</v>
      </c>
      <c r="E23" s="27" t="s">
        <v>642</v>
      </c>
      <c r="F23" s="26" t="s">
        <v>575</v>
      </c>
    </row>
    <row r="24" customFormat="false" ht="23.85" hidden="false" customHeight="false" outlineLevel="0" collapsed="false">
      <c r="B24" s="69" t="s">
        <v>643</v>
      </c>
      <c r="C24" s="26" t="s">
        <v>644</v>
      </c>
      <c r="D24" s="26" t="s">
        <v>645</v>
      </c>
      <c r="E24" s="27" t="s">
        <v>646</v>
      </c>
      <c r="F24" s="26" t="s">
        <v>575</v>
      </c>
    </row>
    <row r="25" customFormat="false" ht="35.05" hidden="false" customHeight="false" outlineLevel="0" collapsed="false">
      <c r="B25" s="69" t="s">
        <v>647</v>
      </c>
      <c r="C25" s="26" t="s">
        <v>648</v>
      </c>
      <c r="D25" s="26" t="s">
        <v>649</v>
      </c>
      <c r="E25" s="27" t="s">
        <v>650</v>
      </c>
      <c r="F25" s="26" t="s">
        <v>651</v>
      </c>
    </row>
    <row r="26" customFormat="false" ht="35.05" hidden="false" customHeight="false" outlineLevel="0" collapsed="false">
      <c r="B26" s="69" t="s">
        <v>652</v>
      </c>
      <c r="C26" s="26" t="s">
        <v>653</v>
      </c>
      <c r="D26" s="26" t="s">
        <v>654</v>
      </c>
      <c r="E26" s="27" t="s">
        <v>655</v>
      </c>
      <c r="F26" s="26" t="s">
        <v>651</v>
      </c>
    </row>
    <row r="27" customFormat="false" ht="15" hidden="false" customHeight="false" outlineLevel="0" collapsed="false">
      <c r="B27" s="69" t="s">
        <v>656</v>
      </c>
      <c r="C27" s="26" t="s">
        <v>657</v>
      </c>
      <c r="D27" s="26" t="s">
        <v>658</v>
      </c>
      <c r="E27" s="27" t="s">
        <v>659</v>
      </c>
      <c r="F27" s="26" t="s">
        <v>575</v>
      </c>
    </row>
    <row r="28" customFormat="false" ht="35.05" hidden="false" customHeight="false" outlineLevel="0" collapsed="false">
      <c r="B28" s="69" t="s">
        <v>409</v>
      </c>
      <c r="C28" s="26" t="s">
        <v>660</v>
      </c>
      <c r="D28" s="26" t="s">
        <v>661</v>
      </c>
      <c r="E28" s="27" t="s">
        <v>662</v>
      </c>
      <c r="F28" s="26" t="s">
        <v>575</v>
      </c>
    </row>
    <row r="29" customFormat="false" ht="23.85" hidden="false" customHeight="false" outlineLevel="0" collapsed="false">
      <c r="B29" s="69" t="s">
        <v>412</v>
      </c>
      <c r="C29" s="26" t="s">
        <v>663</v>
      </c>
      <c r="D29" s="26" t="s">
        <v>664</v>
      </c>
      <c r="E29" s="27" t="s">
        <v>665</v>
      </c>
      <c r="F29" s="26" t="s">
        <v>575</v>
      </c>
    </row>
    <row r="30" customFormat="false" ht="35.05" hidden="false" customHeight="false" outlineLevel="0" collapsed="false">
      <c r="B30" s="69" t="s">
        <v>414</v>
      </c>
      <c r="C30" s="26" t="s">
        <v>666</v>
      </c>
      <c r="D30" s="26" t="s">
        <v>667</v>
      </c>
      <c r="E30" s="27" t="s">
        <v>668</v>
      </c>
      <c r="F30" s="26" t="s">
        <v>575</v>
      </c>
    </row>
    <row r="31" customFormat="false" ht="35.05" hidden="false" customHeight="false" outlineLevel="0" collapsed="false">
      <c r="B31" s="69" t="s">
        <v>669</v>
      </c>
      <c r="C31" s="26" t="s">
        <v>670</v>
      </c>
      <c r="D31" s="26" t="s">
        <v>671</v>
      </c>
      <c r="E31" s="27" t="s">
        <v>672</v>
      </c>
      <c r="F31" s="26" t="s">
        <v>673</v>
      </c>
    </row>
    <row r="32" customFormat="false" ht="35.05" hidden="false" customHeight="false" outlineLevel="0" collapsed="false">
      <c r="B32" s="69" t="s">
        <v>674</v>
      </c>
      <c r="C32" s="26" t="s">
        <v>675</v>
      </c>
      <c r="D32" s="26" t="s">
        <v>676</v>
      </c>
      <c r="E32" s="27" t="s">
        <v>677</v>
      </c>
      <c r="F32" s="26" t="s">
        <v>678</v>
      </c>
    </row>
    <row r="33" customFormat="false" ht="23.85" hidden="false" customHeight="false" outlineLevel="0" collapsed="false">
      <c r="B33" s="69" t="s">
        <v>444</v>
      </c>
      <c r="C33" s="26" t="s">
        <v>679</v>
      </c>
      <c r="D33" s="26" t="s">
        <v>680</v>
      </c>
      <c r="E33" s="27" t="s">
        <v>681</v>
      </c>
      <c r="F33" s="26" t="s">
        <v>575</v>
      </c>
    </row>
    <row r="34" customFormat="false" ht="35.05" hidden="false" customHeight="false" outlineLevel="0" collapsed="false">
      <c r="B34" s="69" t="s">
        <v>682</v>
      </c>
      <c r="C34" s="26" t="s">
        <v>683</v>
      </c>
      <c r="D34" s="26" t="s">
        <v>684</v>
      </c>
      <c r="E34" s="27" t="s">
        <v>685</v>
      </c>
      <c r="F34" s="26" t="s">
        <v>575</v>
      </c>
    </row>
    <row r="35" customFormat="false" ht="46.25" hidden="false" customHeight="false" outlineLevel="0" collapsed="false">
      <c r="B35" s="69" t="s">
        <v>331</v>
      </c>
      <c r="C35" s="26" t="s">
        <v>686</v>
      </c>
      <c r="D35" s="26" t="s">
        <v>687</v>
      </c>
      <c r="E35" s="27" t="s">
        <v>688</v>
      </c>
      <c r="F35" s="26" t="s">
        <v>575</v>
      </c>
    </row>
    <row r="36" customFormat="false" ht="23.85" hidden="false" customHeight="false" outlineLevel="0" collapsed="false">
      <c r="B36" s="69" t="s">
        <v>336</v>
      </c>
      <c r="C36" s="26" t="s">
        <v>689</v>
      </c>
      <c r="D36" s="26" t="s">
        <v>690</v>
      </c>
      <c r="E36" s="27" t="s">
        <v>691</v>
      </c>
      <c r="F36" s="26" t="s">
        <v>575</v>
      </c>
    </row>
    <row r="37" customFormat="false" ht="23.85" hidden="false" customHeight="false" outlineLevel="0" collapsed="false">
      <c r="B37" s="69" t="s">
        <v>692</v>
      </c>
      <c r="C37" s="26" t="s">
        <v>693</v>
      </c>
      <c r="D37" s="26" t="s">
        <v>694</v>
      </c>
      <c r="E37" s="27" t="s">
        <v>695</v>
      </c>
      <c r="F37" s="26" t="s">
        <v>575</v>
      </c>
    </row>
    <row r="38" customFormat="false" ht="23.85" hidden="false" customHeight="false" outlineLevel="0" collapsed="false">
      <c r="B38" s="69" t="s">
        <v>354</v>
      </c>
      <c r="C38" s="26" t="s">
        <v>696</v>
      </c>
      <c r="D38" s="26" t="s">
        <v>697</v>
      </c>
      <c r="E38" s="27" t="s">
        <v>698</v>
      </c>
      <c r="F38" s="26" t="s">
        <v>575</v>
      </c>
    </row>
    <row r="39" customFormat="false" ht="23.85" hidden="false" customHeight="false" outlineLevel="0" collapsed="false">
      <c r="B39" s="69" t="s">
        <v>699</v>
      </c>
      <c r="C39" s="26" t="s">
        <v>700</v>
      </c>
      <c r="D39" s="26" t="s">
        <v>701</v>
      </c>
      <c r="E39" s="27" t="s">
        <v>702</v>
      </c>
      <c r="F39" s="26" t="s">
        <v>575</v>
      </c>
    </row>
    <row r="40" customFormat="false" ht="35.05" hidden="false" customHeight="false" outlineLevel="0" collapsed="false">
      <c r="B40" s="69" t="s">
        <v>703</v>
      </c>
      <c r="C40" s="26" t="s">
        <v>704</v>
      </c>
      <c r="D40" s="26" t="s">
        <v>705</v>
      </c>
      <c r="E40" s="27" t="s">
        <v>706</v>
      </c>
      <c r="F40" s="26" t="s">
        <v>575</v>
      </c>
    </row>
    <row r="41" customFormat="false" ht="23.85" hidden="false" customHeight="false" outlineLevel="0" collapsed="false">
      <c r="B41" s="69" t="s">
        <v>84</v>
      </c>
      <c r="C41" s="26" t="s">
        <v>707</v>
      </c>
      <c r="D41" s="26" t="s">
        <v>708</v>
      </c>
      <c r="E41" s="27" t="s">
        <v>709</v>
      </c>
      <c r="F41" s="26" t="s">
        <v>710</v>
      </c>
    </row>
    <row r="42" customFormat="false" ht="23.85" hidden="false" customHeight="false" outlineLevel="0" collapsed="false">
      <c r="B42" s="69" t="s">
        <v>114</v>
      </c>
      <c r="C42" s="26" t="s">
        <v>711</v>
      </c>
      <c r="D42" s="26" t="s">
        <v>712</v>
      </c>
      <c r="E42" s="27" t="s">
        <v>713</v>
      </c>
      <c r="F42" s="26" t="s">
        <v>714</v>
      </c>
    </row>
    <row r="43" customFormat="false" ht="23.85" hidden="false" customHeight="false" outlineLevel="0" collapsed="false">
      <c r="B43" s="69" t="s">
        <v>130</v>
      </c>
      <c r="C43" s="26" t="s">
        <v>715</v>
      </c>
      <c r="D43" s="26" t="s">
        <v>716</v>
      </c>
      <c r="E43" s="27" t="s">
        <v>717</v>
      </c>
      <c r="F43" s="26" t="s">
        <v>718</v>
      </c>
    </row>
    <row r="44" customFormat="false" ht="15" hidden="false" customHeight="false" outlineLevel="0" collapsed="false">
      <c r="B44" s="69" t="s">
        <v>719</v>
      </c>
      <c r="C44" s="26" t="s">
        <v>720</v>
      </c>
      <c r="D44" s="26" t="s">
        <v>721</v>
      </c>
      <c r="E44" s="26" t="s">
        <v>722</v>
      </c>
      <c r="F44" s="26" t="s">
        <v>718</v>
      </c>
    </row>
    <row r="45" customFormat="false" ht="23.85" hidden="false" customHeight="false" outlineLevel="0" collapsed="false">
      <c r="B45" s="69" t="s">
        <v>723</v>
      </c>
      <c r="C45" s="26" t="s">
        <v>724</v>
      </c>
      <c r="D45" s="26" t="s">
        <v>725</v>
      </c>
      <c r="E45" s="27" t="s">
        <v>726</v>
      </c>
      <c r="F45" s="26" t="s">
        <v>727</v>
      </c>
    </row>
    <row r="46" customFormat="false" ht="15" hidden="false" customHeight="false" outlineLevel="0" collapsed="false">
      <c r="B46" s="69" t="s">
        <v>110</v>
      </c>
      <c r="C46" s="26" t="s">
        <v>728</v>
      </c>
      <c r="D46" s="26" t="s">
        <v>729</v>
      </c>
      <c r="E46" s="27" t="s">
        <v>730</v>
      </c>
      <c r="F46" s="26" t="s">
        <v>731</v>
      </c>
    </row>
    <row r="47" customFormat="false" ht="23.85" hidden="false" customHeight="false" outlineLevel="0" collapsed="false">
      <c r="B47" s="69" t="s">
        <v>732</v>
      </c>
      <c r="C47" s="26" t="s">
        <v>733</v>
      </c>
      <c r="D47" s="26" t="s">
        <v>734</v>
      </c>
      <c r="E47" s="27" t="s">
        <v>735</v>
      </c>
      <c r="F47" s="26" t="s">
        <v>727</v>
      </c>
    </row>
  </sheetData>
  <mergeCells count="2">
    <mergeCell ref="B2:F2"/>
    <mergeCell ref="B3:F3"/>
  </mergeCells>
  <hyperlinks>
    <hyperlink ref="B1" r:id="rId1" display="SOURCES AND REFERENCES"/>
    <hyperlink ref="E1" r:id="rId2" display="2025 demand data"/>
    <hyperlink ref="F1" r:id="rId3" display="Terms of use"/>
    <hyperlink ref="B3" r:id="rId4"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 ref="E5" r:id="rId5" display="https://worldsteel.org/wp-content/uploads/World-Steel-in-Figures-2026.pdf"/>
    <hyperlink ref="E6" r:id="rId6" display="https://worldsteel.org/media/press-releases/2026/worldsteel-short-range-outlook-april-2026/ ; https://www.steelorbis.com/steel-news/latest-news/worldsteel-lowers-global-steel-demand-outlook-as-chinas-downturn-delays-recovery-1482953.htm"/>
    <hyperlink ref="E7" r:id="rId7" display="https://www.steelorbis.com/steel-news/latest-news/oecd-global-steel-trade-shifts-as-chinas-exports-hit-record-high-despite-weak-world-trade-1457083.htm"/>
    <hyperlink ref="E8" r:id="rId8" display="https://oica.net/auto-industry-growth-shifted-east-in-2025-amid-global-repositioning/"/>
    <hyperlink ref="E9" r:id="rId9" display="https://mezha.ua/en/news/globalniy-avtoprom-u-2025-roci-zris-na-4-kitay-lidiruye-309728/ ; https://www.afia.pt/wp-content/uploads/2026/04/prod-total-2025.pdf"/>
    <hyperlink ref="E10" r:id="rId10" display="https://worldsteel.org/wp-content/uploads/Fact-sheet-Advanced-steel-applications.pdf"/>
    <hyperlink ref="E11" r:id="rId11" display="https://www.itiger.com/hant/news/1149322097"/>
    <hyperlink ref="E12" r:id="rId12" display="https://www.steelorbis.com/steel-news/latest-news/china-claims-59-of-new-shipbuilding-orders-globally-in-jan-nov-2025-1426401.htm"/>
    <hyperlink ref="E13" r:id="rId13" display="https://www.giiresearch.com/report/eo1990821-world-market-major-appliances.html"/>
    <hyperlink ref="E14" r:id="rId14" display="https://www.arizton.com/market-reports/hvac-market"/>
    <hyperlink ref="E15" r:id="rId15" display="https://theloadstar.com/container-production-in-china-to-fall-as-supply-demand-rebalances/"/>
    <hyperlink ref="E16" r:id="rId16" display="https://wirenet.org/?p=17053"/>
    <hyperlink ref="E17" r:id="rId17" display="https://www.sipri.org/sites/default/files/Military%20Expenditure%202025.pdf"/>
    <hyperlink ref="E18" r:id="rId18" display="https://statista.com/statistics/1107721/steel-usage-global-segment"/>
    <hyperlink ref="E19" r:id="rId19" display="https://marketpublishers.com/report/ferrous_metallurgy/steel-products/global-steel-sheet-pile-gir.html"/>
    <hyperlink ref="E20" r:id="rId20" display="https://azteccontainer.com/?p=249966"/>
    <hyperlink ref="E21" r:id="rId21" display="https://faxiangongchang.com/en/reports/china-fastener-industry-2026-market-report ; https://www.fastener-world.com/en/article/6864.html"/>
    <hyperlink ref="E22" r:id="rId22" display="https://global.chinadaily.com.cn/a/202602/04/WS69827f28a310d6866eb374b1.html"/>
    <hyperlink ref="E23" r:id="rId23" display="https://www.sunsirs.com/commodity-news/petail-33310.html"/>
    <hyperlink ref="E24" r:id="rId24" display="https://www.steelorbis.com/steel-news/latest-news/chinas-steel-demand-to-drop-slightly-in-2026-as-construction-slump-may-neutralize-gains-from-manufacturing-1467349.htm"/>
    <hyperlink ref="E25" r:id="rId25" display="https://www.steelorbis.com/steel-news/latest-news/mpi-decrease-in-steel-demand-in-china-to-slow-down-in-2025-amid-growth-in-4-major-industries-1372204.htm"/>
    <hyperlink ref="E26" r:id="rId26" display="https://www.seaisi.org/details/25925?type=news-rooms"/>
    <hyperlink ref="E27" r:id="rId27" display="https://www.idom.com/wp-content/uploads/2026/06/Steel-and-Automotive-Industry-Strategic-Opportunities-in-a-Transforming-Ecosystem-Vfinal.pdf"/>
    <hyperlink ref="E28" r:id="rId28" display="https://www.multibagg.ai/market-pulse/articles/ipo/india-steel-consumption-global-decline-rhp-cmvt4sm8n000u23pnk7gyhbmc ; https://ianslive.in/indias-steel-consumption-likely-to-reach-192-million-tonnes-by-2030--20260816095857"/>
    <hyperlink ref="E29" r:id="rId29" display="https://gmk.center/en/news/apparent-steel-consumption-in-the-eu-is-set-to-rise-by-4-4-y-y-in-2025-eurofer/ ; https://eurometal.net/construction-to-remain-key-support-for-eu-steel-demand-in-2026/"/>
    <hyperlink ref="E30" r:id="rId30" display="https://pubs.usgs.gov/periodicals/mcs2026/mcs2026-iron-steel.pdf"/>
    <hyperlink ref="E31" r:id="rId31" display="https://www.kenresearch.com/global-oil-country-tubular-goods-octg-market ; https://www.360researchreports.com/market-reports/oil-country-tubular-goods-octg-market-204649"/>
    <hyperlink ref="E32" r:id="rId32" display="https://www.hydrocarbonengineering.com/gas-processing/03022010/tube_2010_report ; https://www.tubechina.net/en/news/info/1763.html ; https://www.worldpipelines.com/business-news/02032016/Update-global-demand-for-steel-pipe/"/>
    <hyperlink ref="E33" r:id="rId33" display="https://www.steelorbis.com/steel-news/latest-news/chinas-rebar-output-up-03-percent-in-january-august-2025-1410478.htm ; https://www.sunsirs.com/uk/detail_news-29510.html"/>
    <hyperlink ref="E34" r:id="rId34" display="https://eurometal.net/defence-spending-not-seen-notably-spurring-eu-plate/ ; https://www.eceee.org/all-news/news/no-industry-no-tanks-eu-bets-on-more-clean-steel-to-secure-its-future/"/>
    <hyperlink ref="E35" r:id="rId35" display="https://www.globalmilitary.net/news/largest-main-battle-tank-fleets-ranked-2026/ ; https://www.globalmilitary.net/news/towed-versus-self-propelled-artillery-world-fleets-2026/ ; https://www.globalmilitary.net/compare/armies/usa-vs-rus/"/>
    <hyperlink ref="E36" r:id="rId36" display="https://www.globalfirepower.com/aircraft-total.php ; https://migflug.com/afterburner/world-military-strength-compared-aircraft-ships-troops-spending-2026/"/>
    <hyperlink ref="E37" r:id="rId37" display="https://defensenews.com/naval/2026/10/20/china-built-more-than-twice-naval-tonnage-of-us-in-2024-25-euronaval/ ; https://www.shipuniverse.com/?p=24272"/>
    <hyperlink ref="E38" r:id="rId38" display="https://www.euronews.com/2025/07/16/is-russia-producing-a-years-worth-of-nato-ammunition-in-three-months ; https://www.aol.com/russia-track-build-artillery-shell-044653081.html"/>
    <hyperlink ref="E39" r:id="rId39" display="https://www.gd-ots.com/wp-content/uploads/2017/11/155mm-M107-HE_US.pdf"/>
    <hyperlink ref="E40" r:id="rId40" display="https://global.espreso.tv/russias-armored-vehicle-production-at-its-peak-nato-says ; https://www.pravda.com.ua/eng/news/2025/02/14/7498238"/>
    <hyperlink ref="E41" r:id="rId41" display="https://www.steelonthenet.com/commerce/about/jfk.html"/>
    <hyperlink ref="E42" r:id="rId42" display="https://www.steelonthenet.com"/>
    <hyperlink ref="E43" r:id="rId43" display="https://www.autosteel.org"/>
    <hyperlink ref="E45" r:id="rId44" display="https://www.steelonthenet.com/resources/market-data/consumption.html"/>
    <hyperlink ref="E46" r:id="rId45" display="https://www.steelonthenet.com/files/automotive.html"/>
    <hyperlink ref="E47" r:id="rId46" display="https://www.steelonthenet.com/resources/market-data/steel-end-use.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B4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120"/>
  </cols>
  <sheetData>
    <row r="1" customFormat="false" ht="20.25" hidden="false" customHeight="true" outlineLevel="0" collapsed="false">
      <c r="B1" s="1" t="s">
        <v>736</v>
      </c>
    </row>
    <row r="2" customFormat="false" ht="16.5" hidden="false" customHeight="true" outlineLevel="0" collapsed="false">
      <c r="B2" s="24" t="s">
        <v>47</v>
      </c>
    </row>
    <row r="3" customFormat="false" ht="41.25" hidden="false" customHeight="true" outlineLevel="0" collapsed="false">
      <c r="B3" s="25" t="s">
        <v>4</v>
      </c>
    </row>
    <row r="4" customFormat="false" ht="15" hidden="false" customHeight="false" outlineLevel="0" collapsed="false">
      <c r="B4" s="18" t="s">
        <v>312</v>
      </c>
    </row>
    <row r="5" customFormat="false" ht="15" hidden="false" customHeight="false" outlineLevel="0" collapsed="false">
      <c r="B5" s="26" t="s">
        <v>737</v>
      </c>
    </row>
    <row r="6" customFormat="false" ht="23.85" hidden="false" customHeight="false" outlineLevel="0" collapsed="false">
      <c r="B6" s="26" t="s">
        <v>738</v>
      </c>
    </row>
    <row r="7" customFormat="false" ht="23.85" hidden="false" customHeight="false" outlineLevel="0" collapsed="false">
      <c r="B7" s="26" t="s">
        <v>739</v>
      </c>
    </row>
    <row r="8" customFormat="false" ht="23.85" hidden="false" customHeight="false" outlineLevel="0" collapsed="false">
      <c r="B8" s="26" t="s">
        <v>740</v>
      </c>
    </row>
    <row r="9" customFormat="false" ht="15" hidden="false" customHeight="false" outlineLevel="0" collapsed="false">
      <c r="B9" s="26" t="s">
        <v>741</v>
      </c>
    </row>
    <row r="10" customFormat="false" ht="23.85" hidden="false" customHeight="false" outlineLevel="0" collapsed="false">
      <c r="B10" s="26" t="s">
        <v>742</v>
      </c>
    </row>
    <row r="12" customFormat="false" ht="15" hidden="false" customHeight="false" outlineLevel="0" collapsed="false">
      <c r="B12" s="18" t="s">
        <v>743</v>
      </c>
    </row>
    <row r="13" customFormat="false" ht="23.85" hidden="false" customHeight="false" outlineLevel="0" collapsed="false">
      <c r="B13" s="26" t="s">
        <v>744</v>
      </c>
    </row>
    <row r="15" customFormat="false" ht="15" hidden="false" customHeight="false" outlineLevel="0" collapsed="false">
      <c r="B15" s="18" t="s">
        <v>745</v>
      </c>
    </row>
    <row r="16" customFormat="false" ht="15" hidden="false" customHeight="false" outlineLevel="0" collapsed="false">
      <c r="B16" s="26" t="s">
        <v>746</v>
      </c>
    </row>
    <row r="17" customFormat="false" ht="15" hidden="false" customHeight="false" outlineLevel="0" collapsed="false">
      <c r="B17" s="26" t="s">
        <v>747</v>
      </c>
    </row>
    <row r="18" customFormat="false" ht="15" hidden="false" customHeight="false" outlineLevel="0" collapsed="false">
      <c r="B18" s="26" t="s">
        <v>748</v>
      </c>
    </row>
    <row r="19" customFormat="false" ht="23.85" hidden="false" customHeight="false" outlineLevel="0" collapsed="false">
      <c r="B19" s="26" t="s">
        <v>749</v>
      </c>
    </row>
    <row r="20" customFormat="false" ht="23.85" hidden="false" customHeight="false" outlineLevel="0" collapsed="false">
      <c r="B20" s="26" t="s">
        <v>750</v>
      </c>
    </row>
    <row r="22" customFormat="false" ht="15" hidden="false" customHeight="false" outlineLevel="0" collapsed="false">
      <c r="B22" s="18" t="s">
        <v>751</v>
      </c>
    </row>
    <row r="23" customFormat="false" ht="15" hidden="false" customHeight="false" outlineLevel="0" collapsed="false">
      <c r="B23" s="26" t="s">
        <v>752</v>
      </c>
    </row>
    <row r="24" customFormat="false" ht="15" hidden="false" customHeight="false" outlineLevel="0" collapsed="false">
      <c r="B24" s="26" t="s">
        <v>753</v>
      </c>
    </row>
    <row r="25" customFormat="false" ht="15" hidden="false" customHeight="false" outlineLevel="0" collapsed="false">
      <c r="B25" s="26" t="s">
        <v>754</v>
      </c>
    </row>
    <row r="26" customFormat="false" ht="15" hidden="false" customHeight="false" outlineLevel="0" collapsed="false">
      <c r="B26" s="26" t="s">
        <v>755</v>
      </c>
    </row>
    <row r="27" customFormat="false" ht="15" hidden="false" customHeight="false" outlineLevel="0" collapsed="false">
      <c r="B27" s="26" t="s">
        <v>756</v>
      </c>
    </row>
    <row r="28" customFormat="false" ht="15" hidden="false" customHeight="false" outlineLevel="0" collapsed="false">
      <c r="B28" s="26" t="s">
        <v>757</v>
      </c>
    </row>
    <row r="29" customFormat="false" ht="15" hidden="false" customHeight="false" outlineLevel="0" collapsed="false">
      <c r="B29" s="26" t="s">
        <v>758</v>
      </c>
    </row>
    <row r="30" customFormat="false" ht="15" hidden="false" customHeight="false" outlineLevel="0" collapsed="false">
      <c r="B30" s="26" t="s">
        <v>759</v>
      </c>
    </row>
    <row r="31" customFormat="false" ht="15" hidden="false" customHeight="false" outlineLevel="0" collapsed="false">
      <c r="B31" s="26" t="s">
        <v>760</v>
      </c>
    </row>
    <row r="33" customFormat="false" ht="15" hidden="false" customHeight="false" outlineLevel="0" collapsed="false">
      <c r="B33" s="18" t="s">
        <v>761</v>
      </c>
    </row>
    <row r="34" customFormat="false" ht="15" hidden="false" customHeight="false" outlineLevel="0" collapsed="false">
      <c r="B34" s="26" t="s">
        <v>762</v>
      </c>
    </row>
    <row r="35" customFormat="false" ht="15" hidden="false" customHeight="false" outlineLevel="0" collapsed="false">
      <c r="B35" s="26" t="s">
        <v>763</v>
      </c>
    </row>
    <row r="36" customFormat="false" ht="15" hidden="false" customHeight="false" outlineLevel="0" collapsed="false">
      <c r="B36" s="26" t="s">
        <v>764</v>
      </c>
    </row>
    <row r="37" customFormat="false" ht="15" hidden="false" customHeight="false" outlineLevel="0" collapsed="false">
      <c r="B37" s="26" t="s">
        <v>765</v>
      </c>
    </row>
    <row r="38" customFormat="false" ht="15" hidden="false" customHeight="false" outlineLevel="0" collapsed="false">
      <c r="B38" s="26" t="s">
        <v>766</v>
      </c>
    </row>
    <row r="39" customFormat="false" ht="15" hidden="false" customHeight="false" outlineLevel="0" collapsed="false">
      <c r="B39" s="26" t="s">
        <v>767</v>
      </c>
    </row>
    <row r="40" customFormat="false" ht="15" hidden="false" customHeight="false" outlineLevel="0" collapsed="false">
      <c r="B40" s="26" t="s">
        <v>768</v>
      </c>
    </row>
    <row r="41" customFormat="false" ht="15" hidden="false" customHeight="false" outlineLevel="0" collapsed="false">
      <c r="B41" s="26" t="s">
        <v>769</v>
      </c>
    </row>
    <row r="42" customFormat="false" ht="15" hidden="false" customHeight="false" outlineLevel="0" collapsed="false">
      <c r="B42" s="26" t="s">
        <v>770</v>
      </c>
    </row>
    <row r="44" customFormat="false" ht="15" hidden="false" customHeight="false" outlineLevel="0" collapsed="false">
      <c r="B44" s="18" t="s">
        <v>771</v>
      </c>
    </row>
    <row r="45" customFormat="false" ht="15" hidden="false" customHeight="false" outlineLevel="0" collapsed="false">
      <c r="B45" s="26" t="s">
        <v>772</v>
      </c>
    </row>
  </sheetData>
  <hyperlinks>
    <hyperlink ref="B1" r:id="rId1" display="NOTES, METHOD AND DEFINITIONS"/>
    <hyperlink ref="B2" r:id="rId2" display="See also: https://www.steelonthenet.com/resources/market-data/consumption.html"/>
    <hyperlink ref="B3" r:id="rId3" display="Source: Metals Consulting International Limited (MCI) / SteelOnTheNet. Cite as: MCI (2026), World steel demand by end-use industry, 2025 - https://www.steelonthenet.com/resources/market-data/steel-end-use.html; see also https://www.steelonthenet.com/resources/market-data/consumption.html. Worksheet date: 7 November 2026. Use subject to terms of use: https://www.steelonthenet.com/legal.html"/>
  </hyperlinks>
  <printOptions headings="false" gridLines="false" gridLinesSet="true" horizontalCentered="false" verticalCentered="false"/>
  <pageMargins left="0.75" right="0.75" top="1" bottom="1" header="0.5" footer="0.5"/>
  <pageSetup paperSize="1" scale="100" fitToWidth="1" fitToHeight="0" pageOrder="downThenOver" orientation="landscape" blackAndWhite="false" draft="false" cellComments="none" horizontalDpi="300" verticalDpi="300" copies="1"/>
  <headerFooter differentFirst="false" differentOddEven="false">
    <oddHeader>&amp;R&amp;8 World steel demand by end-use industry, 2025</oddHeader>
    <oddFooter>&amp;L&amp;8 (c) MCI / SteelOnTheNet 2026&amp;C&amp;8 steelonthenet.com/resources/market-data/steel-end-use.html | 7 November 2026&amp;R&amp;8 Terms: steelonthenet.com/legal.html | Page &amp;P of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2026-11-07T17:49:30Z</dcterms:created>
  <dc:creator>Metals Consulting International Limited</dc:creator>
  <dc:description/>
  <dc:language>en-US</dc:language>
  <cp:lastModifiedBy/>
  <dcterms:modified xsi:type="dcterms:W3CDTF">2026-11-07T17:49:32Z</dcterms:modified>
  <cp:revision>1</cp:revision>
  <dc:subject>SteelOnTheNet market data - steelonthenet.com/resources/market-data/steel-end-use.html</dc:subject>
  <dc:title>World steel demand by end-use industry, 2025</dc:title>
</cp:coreProperties>
</file>

<file path=docProps/custom.xml><?xml version="1.0" encoding="utf-8"?>
<Properties xmlns="http://schemas.openxmlformats.org/officeDocument/2006/custom-properties" xmlns:vt="http://schemas.openxmlformats.org/officeDocument/2006/docPropsVTypes"/>
</file>